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Colman - Pri. Fin - ACC/"/>
    </mc:Choice>
  </mc:AlternateContent>
  <xr:revisionPtr revIDLastSave="1764" documentId="13_ncr:1_{57BBCDB9-EB52-B946-AFCD-FFB5F60EF2D2}" xr6:coauthVersionLast="47" xr6:coauthVersionMax="47" xr10:uidLastSave="{8C2472DC-9033-EF47-B505-8034436897AD}"/>
  <bookViews>
    <workbookView xWindow="0" yWindow="620" windowWidth="38020" windowHeight="19420" firstSheet="4" activeTab="10" xr2:uid="{00000000-000D-0000-FFFF-FFFF00000000}"/>
  </bookViews>
  <sheets>
    <sheet name="COVER" sheetId="33" r:id="rId1"/>
    <sheet name="Lecture 1 FV Basics" sheetId="34" r:id="rId2"/>
    <sheet name="Lecture 2 FV Cont." sheetId="4" r:id="rId3"/>
    <sheet name="Lecture 3 - PV Lump Sum" sheetId="13" r:id="rId4"/>
    <sheet name="Lecture 4 - PV Series" sheetId="35" r:id="rId5"/>
    <sheet name="Lecture 5 - Eff. Int" sheetId="18" r:id="rId6"/>
    <sheet name="Lecture 6 - Eff. Int" sheetId="22" r:id="rId7"/>
    <sheet name="Lecture 7 - Loans" sheetId="24" r:id="rId8"/>
    <sheet name="Lecture 8 - Loans Advanced" sheetId="26" r:id="rId9"/>
    <sheet name="Lecture 9 - Linkage" sheetId="27" r:id="rId10"/>
    <sheet name="Lecture 10+11 Projects" sheetId="29" r:id="rId11"/>
    <sheet name="Lecture 12 - CF" sheetId="30" r:id="rId12"/>
    <sheet name="Reversal" sheetId="32" r:id="rId13"/>
  </sheets>
  <definedNames>
    <definedName name="_xlnm.Print_Area" localSheetId="2">'Lecture 2 FV Cont.'!$A$1:$H$462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458" i="29" l="1"/>
  <c r="F452" i="29"/>
  <c r="F453" i="29"/>
  <c r="F454" i="29"/>
  <c r="F455" i="29"/>
  <c r="F451" i="29"/>
  <c r="D459" i="29"/>
  <c r="D458" i="29"/>
  <c r="C297" i="29"/>
  <c r="D297" i="29" s="1"/>
  <c r="C298" i="29" s="1"/>
  <c r="G280" i="29"/>
  <c r="G281" i="29"/>
  <c r="H281" i="29" s="1"/>
  <c r="B300" i="29" s="1"/>
  <c r="G282" i="29"/>
  <c r="G283" i="29"/>
  <c r="H283" i="29" s="1"/>
  <c r="G279" i="29"/>
  <c r="D189" i="29"/>
  <c r="C189" i="29"/>
  <c r="D152" i="29"/>
  <c r="E152" i="29"/>
  <c r="C152" i="29"/>
  <c r="D151" i="29"/>
  <c r="E151" i="29"/>
  <c r="C151" i="29"/>
  <c r="C117" i="29"/>
  <c r="E80" i="29"/>
  <c r="C42" i="29"/>
  <c r="D206" i="27"/>
  <c r="E207" i="27"/>
  <c r="D207" i="27" s="1"/>
  <c r="E173" i="27"/>
  <c r="E156" i="27"/>
  <c r="D51" i="27"/>
  <c r="D50" i="27"/>
  <c r="D52" i="27"/>
  <c r="D49" i="27"/>
  <c r="D303" i="26"/>
  <c r="D304" i="26"/>
  <c r="D300" i="26"/>
  <c r="D296" i="26"/>
  <c r="D289" i="26"/>
  <c r="B242" i="26"/>
  <c r="D68" i="26"/>
  <c r="D67" i="26"/>
  <c r="C67" i="26" s="1"/>
  <c r="E78" i="26"/>
  <c r="H71" i="26"/>
  <c r="F233" i="24"/>
  <c r="F234" i="24"/>
  <c r="F235" i="24"/>
  <c r="F236" i="24"/>
  <c r="F232" i="24"/>
  <c r="E232" i="24"/>
  <c r="E233" i="24"/>
  <c r="E234" i="24"/>
  <c r="E235" i="24"/>
  <c r="E236" i="24"/>
  <c r="C233" i="24"/>
  <c r="C234" i="24"/>
  <c r="C235" i="24"/>
  <c r="C236" i="24"/>
  <c r="G233" i="24"/>
  <c r="G232" i="24"/>
  <c r="G234" i="24"/>
  <c r="G235" i="24" s="1"/>
  <c r="G236" i="24" s="1"/>
  <c r="C232" i="24"/>
  <c r="D232" i="24"/>
  <c r="D233" i="24" s="1"/>
  <c r="D234" i="24" s="1"/>
  <c r="D235" i="24" s="1"/>
  <c r="D236" i="24" s="1"/>
  <c r="D201" i="24"/>
  <c r="D202" i="24" s="1"/>
  <c r="D203" i="24" s="1"/>
  <c r="H203" i="24"/>
  <c r="C201" i="24"/>
  <c r="B201" i="24"/>
  <c r="B202" i="24" s="1"/>
  <c r="B203" i="24" s="1"/>
  <c r="B204" i="24" s="1"/>
  <c r="B205" i="24" s="1"/>
  <c r="B206" i="24" s="1"/>
  <c r="B207" i="24" s="1"/>
  <c r="B208" i="24" s="1"/>
  <c r="B209" i="24" s="1"/>
  <c r="B210" i="24" s="1"/>
  <c r="B211" i="24" s="1"/>
  <c r="B212" i="24" s="1"/>
  <c r="D193" i="24"/>
  <c r="D194" i="24" s="1"/>
  <c r="D195" i="24" s="1"/>
  <c r="E155" i="24"/>
  <c r="E154" i="24"/>
  <c r="E129" i="24"/>
  <c r="E132" i="24" s="1"/>
  <c r="E111" i="24"/>
  <c r="E112" i="24" s="1"/>
  <c r="G72" i="24"/>
  <c r="D64" i="24"/>
  <c r="F73" i="24" s="1"/>
  <c r="C193" i="22"/>
  <c r="B187" i="22"/>
  <c r="D239" i="22"/>
  <c r="G216" i="22"/>
  <c r="C216" i="22"/>
  <c r="B189" i="22"/>
  <c r="G189" i="22"/>
  <c r="G190" i="22" s="1"/>
  <c r="C140" i="22"/>
  <c r="C142" i="22" s="1"/>
  <c r="E104" i="22"/>
  <c r="E102" i="22"/>
  <c r="E74" i="22"/>
  <c r="D58" i="22"/>
  <c r="D187" i="18"/>
  <c r="D190" i="18" s="1"/>
  <c r="D156" i="18"/>
  <c r="D159" i="18" s="1"/>
  <c r="F122" i="18"/>
  <c r="F100" i="18"/>
  <c r="E180" i="35"/>
  <c r="E179" i="35"/>
  <c r="E182" i="35"/>
  <c r="F181" i="35"/>
  <c r="F179" i="35"/>
  <c r="D142" i="35"/>
  <c r="I146" i="35" s="1"/>
  <c r="I148" i="35" s="1"/>
  <c r="D156" i="35" s="1"/>
  <c r="D154" i="35" s="1"/>
  <c r="E110" i="35"/>
  <c r="E112" i="35" s="1"/>
  <c r="D113" i="35" s="1"/>
  <c r="D112" i="35" s="1"/>
  <c r="H110" i="35" s="1"/>
  <c r="C87" i="35"/>
  <c r="B88" i="35" s="1"/>
  <c r="B87" i="35" s="1"/>
  <c r="D45" i="35"/>
  <c r="D47" i="35" s="1"/>
  <c r="D31" i="35"/>
  <c r="D22" i="35"/>
  <c r="D197" i="13"/>
  <c r="D198" i="13"/>
  <c r="D194" i="13"/>
  <c r="E194" i="13"/>
  <c r="C170" i="13"/>
  <c r="C171" i="13"/>
  <c r="E135" i="13"/>
  <c r="D121" i="13"/>
  <c r="D120" i="13"/>
  <c r="D119" i="13"/>
  <c r="D118" i="13"/>
  <c r="F84" i="13"/>
  <c r="B73" i="13"/>
  <c r="F85" i="13" s="1"/>
  <c r="C38" i="13"/>
  <c r="H280" i="29" l="1"/>
  <c r="B299" i="29" s="1"/>
  <c r="E299" i="29"/>
  <c r="H282" i="29"/>
  <c r="B297" i="29" s="1"/>
  <c r="E297" i="29"/>
  <c r="H279" i="29"/>
  <c r="B298" i="29" s="1"/>
  <c r="E298" i="29"/>
  <c r="D298" i="29"/>
  <c r="C299" i="29" s="1"/>
  <c r="D299" i="29" s="1"/>
  <c r="D208" i="27"/>
  <c r="B208" i="27" s="1"/>
  <c r="E214" i="27" s="1"/>
  <c r="E201" i="24"/>
  <c r="F201" i="24" s="1"/>
  <c r="G201" i="24"/>
  <c r="C202" i="24" s="1"/>
  <c r="E202" i="24"/>
  <c r="F202" i="24" s="1"/>
  <c r="G202" i="24"/>
  <c r="C203" i="24" s="1"/>
  <c r="D204" i="24"/>
  <c r="C73" i="24"/>
  <c r="E73" i="24"/>
  <c r="D73" i="24" s="1"/>
  <c r="F74" i="24"/>
  <c r="F75" i="24" s="1"/>
  <c r="F76" i="24" s="1"/>
  <c r="F77" i="24" s="1"/>
  <c r="F78" i="24" s="1"/>
  <c r="F79" i="24" s="1"/>
  <c r="F80" i="24" s="1"/>
  <c r="F81" i="24" s="1"/>
  <c r="F82" i="24" s="1"/>
  <c r="F83" i="24" s="1"/>
  <c r="F84" i="24" s="1"/>
  <c r="F85" i="24" s="1"/>
  <c r="F86" i="24" s="1"/>
  <c r="F87" i="24" s="1"/>
  <c r="F88" i="24" s="1"/>
  <c r="F89" i="24" s="1"/>
  <c r="F90" i="24" s="1"/>
  <c r="F91" i="24" s="1"/>
  <c r="F92" i="24" s="1"/>
  <c r="F93" i="24" s="1"/>
  <c r="F94" i="24" s="1"/>
  <c r="F95" i="24" s="1"/>
  <c r="F96" i="24" s="1"/>
  <c r="C201" i="22"/>
  <c r="D123" i="13"/>
  <c r="C167" i="13"/>
  <c r="C175" i="13" s="1"/>
  <c r="C178" i="13" s="1"/>
  <c r="C300" i="29" l="1"/>
  <c r="E300" i="29" s="1"/>
  <c r="D300" i="29"/>
  <c r="G203" i="24"/>
  <c r="C204" i="24" s="1"/>
  <c r="E203" i="24"/>
  <c r="F203" i="24" s="1"/>
  <c r="D205" i="24"/>
  <c r="G73" i="24"/>
  <c r="I195" i="4"/>
  <c r="H191" i="4"/>
  <c r="E195" i="4"/>
  <c r="D191" i="4"/>
  <c r="D190" i="4"/>
  <c r="E191" i="4"/>
  <c r="B195" i="4"/>
  <c r="A191" i="4"/>
  <c r="C166" i="4"/>
  <c r="C165" i="4"/>
  <c r="D166" i="4"/>
  <c r="D163" i="4"/>
  <c r="D165" i="4"/>
  <c r="E166" i="4"/>
  <c r="C126" i="4"/>
  <c r="C128" i="4"/>
  <c r="C127" i="4"/>
  <c r="C125" i="4"/>
  <c r="C124" i="4"/>
  <c r="C118" i="4"/>
  <c r="C117" i="4"/>
  <c r="B82" i="4"/>
  <c r="B81" i="4"/>
  <c r="C82" i="4"/>
  <c r="E45" i="4"/>
  <c r="E46" i="4"/>
  <c r="E49" i="4"/>
  <c r="E48" i="4"/>
  <c r="E47" i="4"/>
  <c r="B45" i="4"/>
  <c r="B30" i="4"/>
  <c r="B33" i="4"/>
  <c r="E219" i="34"/>
  <c r="D204" i="34"/>
  <c r="E207" i="34"/>
  <c r="D206" i="34" s="1"/>
  <c r="D186" i="34"/>
  <c r="C185" i="34" s="1"/>
  <c r="C186" i="34" s="1"/>
  <c r="B185" i="34" s="1"/>
  <c r="B186" i="34" s="1"/>
  <c r="B174" i="34"/>
  <c r="E161" i="34"/>
  <c r="D142" i="34"/>
  <c r="D104" i="34"/>
  <c r="E273" i="27"/>
  <c r="C260" i="27"/>
  <c r="C261" i="27"/>
  <c r="C262" i="27"/>
  <c r="C263" i="27"/>
  <c r="C264" i="27"/>
  <c r="C265" i="27"/>
  <c r="C266" i="27"/>
  <c r="C267" i="27"/>
  <c r="C268" i="27"/>
  <c r="C269" i="27"/>
  <c r="C270" i="27"/>
  <c r="C259" i="27"/>
  <c r="F189" i="27"/>
  <c r="D85" i="27"/>
  <c r="D93" i="27" s="1"/>
  <c r="D97" i="27" s="1"/>
  <c r="E67" i="26"/>
  <c r="H68" i="26"/>
  <c r="C438" i="24"/>
  <c r="C643" i="22"/>
  <c r="C642" i="22"/>
  <c r="G643" i="22"/>
  <c r="G644" i="22" s="1"/>
  <c r="C554" i="22"/>
  <c r="C524" i="22"/>
  <c r="B320" i="22"/>
  <c r="G342" i="22"/>
  <c r="G343" i="22" s="1"/>
  <c r="C347" i="22" s="1"/>
  <c r="B341" i="22"/>
  <c r="C346" i="22" s="1"/>
  <c r="E295" i="22"/>
  <c r="G255" i="22"/>
  <c r="B253" i="22"/>
  <c r="G142" i="22"/>
  <c r="F215" i="18"/>
  <c r="D215" i="18"/>
  <c r="C215" i="18" s="1"/>
  <c r="E215" i="18"/>
  <c r="C202" i="18"/>
  <c r="E27" i="18"/>
  <c r="F28" i="18"/>
  <c r="E29" i="18" s="1"/>
  <c r="B110" i="35"/>
  <c r="B111" i="35" s="1"/>
  <c r="B112" i="35" s="1"/>
  <c r="D422" i="34"/>
  <c r="G411" i="34"/>
  <c r="F410" i="34" s="1"/>
  <c r="F411" i="34" s="1"/>
  <c r="E410" i="34" s="1"/>
  <c r="E411" i="34" s="1"/>
  <c r="D410" i="34" s="1"/>
  <c r="D411" i="34" s="1"/>
  <c r="F384" i="34"/>
  <c r="E383" i="34" s="1"/>
  <c r="E384" i="34" s="1"/>
  <c r="D383" i="34" s="1"/>
  <c r="D384" i="34" s="1"/>
  <c r="A375" i="34"/>
  <c r="G357" i="34"/>
  <c r="O351" i="32"/>
  <c r="J351" i="32"/>
  <c r="O345" i="32"/>
  <c r="M353" i="32"/>
  <c r="M347" i="32"/>
  <c r="J345" i="32"/>
  <c r="M346" i="32"/>
  <c r="AB160" i="32"/>
  <c r="AB165" i="32" s="1"/>
  <c r="U148" i="32"/>
  <c r="AB148" i="32" s="1"/>
  <c r="AB150" i="32" s="1"/>
  <c r="AB155" i="32" s="1"/>
  <c r="AB167" i="32" s="1"/>
  <c r="U154" i="32"/>
  <c r="U166" i="32"/>
  <c r="U160" i="32"/>
  <c r="K104" i="32"/>
  <c r="K98" i="32"/>
  <c r="K100" i="32" s="1"/>
  <c r="J86" i="32"/>
  <c r="J87" i="32" s="1"/>
  <c r="J88" i="32" s="1"/>
  <c r="J89" i="32" s="1"/>
  <c r="J90" i="32" s="1"/>
  <c r="J91" i="32" s="1"/>
  <c r="J92" i="32" s="1"/>
  <c r="J93" i="32" s="1"/>
  <c r="J94" i="32" s="1"/>
  <c r="J95" i="32" s="1"/>
  <c r="J96" i="32" s="1"/>
  <c r="J33" i="32"/>
  <c r="K30" i="32"/>
  <c r="J30" i="32" s="1"/>
  <c r="L33" i="32"/>
  <c r="L34" i="32" s="1"/>
  <c r="K32" i="32" s="1"/>
  <c r="L30" i="32"/>
  <c r="H396" i="29"/>
  <c r="H395" i="29"/>
  <c r="G396" i="29"/>
  <c r="G395" i="29"/>
  <c r="F396" i="29"/>
  <c r="F395" i="29"/>
  <c r="E452" i="29"/>
  <c r="E451" i="29"/>
  <c r="E457" i="29" s="1"/>
  <c r="D452" i="29"/>
  <c r="D453" i="29" s="1"/>
  <c r="D451" i="29"/>
  <c r="D457" i="29" s="1"/>
  <c r="F439" i="29"/>
  <c r="G439" i="29" s="1"/>
  <c r="H439" i="29" s="1"/>
  <c r="E348" i="29"/>
  <c r="E347" i="29"/>
  <c r="C348" i="29"/>
  <c r="C347" i="29"/>
  <c r="C330" i="29"/>
  <c r="C331" i="29"/>
  <c r="C191" i="29"/>
  <c r="D191" i="29"/>
  <c r="D190" i="29"/>
  <c r="C190" i="29"/>
  <c r="K70" i="29"/>
  <c r="J70" i="29"/>
  <c r="J71" i="29" s="1"/>
  <c r="J72" i="29" s="1"/>
  <c r="J73" i="29" s="1"/>
  <c r="J74" i="29" s="1"/>
  <c r="J75" i="29" s="1"/>
  <c r="J76" i="29" s="1"/>
  <c r="J77" i="29" s="1"/>
  <c r="J78" i="29" s="1"/>
  <c r="J79" i="29" s="1"/>
  <c r="J80" i="29" s="1"/>
  <c r="J81" i="29" s="1"/>
  <c r="J82" i="29" s="1"/>
  <c r="J83" i="29" s="1"/>
  <c r="J84" i="29" s="1"/>
  <c r="J85" i="29" s="1"/>
  <c r="J86" i="29" s="1"/>
  <c r="J87" i="29" s="1"/>
  <c r="J88" i="29" s="1"/>
  <c r="J89" i="29" s="1"/>
  <c r="J90" i="29" s="1"/>
  <c r="J91" i="29" s="1"/>
  <c r="J92" i="29" s="1"/>
  <c r="J93" i="29" s="1"/>
  <c r="J94" i="29" s="1"/>
  <c r="J95" i="29" s="1"/>
  <c r="J96" i="29" s="1"/>
  <c r="J97" i="29" s="1"/>
  <c r="J98" i="29" s="1"/>
  <c r="B203" i="26"/>
  <c r="C194" i="26"/>
  <c r="E183" i="26"/>
  <c r="E187" i="26" s="1"/>
  <c r="E154" i="26"/>
  <c r="D154" i="26" s="1"/>
  <c r="C493" i="24"/>
  <c r="D499" i="24" s="1"/>
  <c r="D500" i="24" s="1"/>
  <c r="B142" i="22"/>
  <c r="K71" i="29" l="1"/>
  <c r="K72" i="29" s="1"/>
  <c r="K73" i="29" s="1"/>
  <c r="K74" i="29" s="1"/>
  <c r="K75" i="29" s="1"/>
  <c r="K76" i="29" s="1"/>
  <c r="K77" i="29" s="1"/>
  <c r="K78" i="29" s="1"/>
  <c r="K79" i="29" s="1"/>
  <c r="K80" i="29" s="1"/>
  <c r="K81" i="29" s="1"/>
  <c r="K82" i="29" s="1"/>
  <c r="K83" i="29" s="1"/>
  <c r="K84" i="29" s="1"/>
  <c r="K85" i="29" s="1"/>
  <c r="K86" i="29" s="1"/>
  <c r="K87" i="29" s="1"/>
  <c r="K88" i="29" s="1"/>
  <c r="K89" i="29" s="1"/>
  <c r="K90" i="29" s="1"/>
  <c r="K91" i="29" s="1"/>
  <c r="K92" i="29" s="1"/>
  <c r="K93" i="29" s="1"/>
  <c r="K94" i="29" s="1"/>
  <c r="K95" i="29" s="1"/>
  <c r="K96" i="29" s="1"/>
  <c r="K97" i="29" s="1"/>
  <c r="K98" i="29" s="1"/>
  <c r="M70" i="29"/>
  <c r="H260" i="27"/>
  <c r="E204" i="24"/>
  <c r="F204" i="24" s="1"/>
  <c r="G204" i="24"/>
  <c r="C205" i="24" s="1"/>
  <c r="D206" i="24"/>
  <c r="C74" i="24"/>
  <c r="E74" i="24"/>
  <c r="D74" i="24" s="1"/>
  <c r="C645" i="22"/>
  <c r="E650" i="22"/>
  <c r="D207" i="34"/>
  <c r="E28" i="18"/>
  <c r="U147" i="32"/>
  <c r="K34" i="32"/>
  <c r="J32" i="32" s="1"/>
  <c r="J34" i="32" s="1"/>
  <c r="D454" i="29"/>
  <c r="D455" i="29" s="1"/>
  <c r="E453" i="29"/>
  <c r="E158" i="26"/>
  <c r="D156" i="26" s="1"/>
  <c r="D157" i="26" s="1"/>
  <c r="D483" i="24"/>
  <c r="D477" i="24"/>
  <c r="D486" i="24" s="1"/>
  <c r="D426" i="24"/>
  <c r="D428" i="24" s="1"/>
  <c r="D431" i="24" s="1"/>
  <c r="D432" i="24" s="1"/>
  <c r="D436" i="24" s="1"/>
  <c r="D415" i="24"/>
  <c r="D417" i="24" s="1"/>
  <c r="D420" i="24" s="1"/>
  <c r="D421" i="24" s="1"/>
  <c r="D384" i="24"/>
  <c r="D390" i="24" s="1"/>
  <c r="D395" i="24"/>
  <c r="D396" i="24"/>
  <c r="D393" i="24"/>
  <c r="D388" i="24"/>
  <c r="F356" i="24"/>
  <c r="F364" i="24" s="1"/>
  <c r="F354" i="24"/>
  <c r="F357" i="24"/>
  <c r="E341" i="24"/>
  <c r="C341" i="24"/>
  <c r="B341" i="24"/>
  <c r="B342" i="24" s="1"/>
  <c r="B343" i="24" s="1"/>
  <c r="B344" i="24" s="1"/>
  <c r="B345" i="24" s="1"/>
  <c r="B346" i="24" s="1"/>
  <c r="D333" i="24"/>
  <c r="D335" i="24" s="1"/>
  <c r="C309" i="24"/>
  <c r="B309" i="24"/>
  <c r="C268" i="24"/>
  <c r="G267" i="24"/>
  <c r="E147" i="24"/>
  <c r="E156" i="24" s="1"/>
  <c r="E157" i="24" s="1"/>
  <c r="E121" i="24"/>
  <c r="E120" i="24"/>
  <c r="E117" i="24"/>
  <c r="E119" i="24"/>
  <c r="E416" i="22"/>
  <c r="E408" i="22"/>
  <c r="G469" i="22"/>
  <c r="G470" i="22" s="1"/>
  <c r="C477" i="22" s="1"/>
  <c r="B468" i="22"/>
  <c r="C476" i="22" s="1"/>
  <c r="E437" i="22"/>
  <c r="G367" i="22"/>
  <c r="B365" i="22"/>
  <c r="C503" i="22"/>
  <c r="G504" i="22"/>
  <c r="G505" i="22" s="1"/>
  <c r="H437" i="35"/>
  <c r="C439" i="35"/>
  <c r="C440" i="35" s="1"/>
  <c r="C441" i="35" s="1"/>
  <c r="H211" i="35"/>
  <c r="F213" i="35" s="1"/>
  <c r="C201" i="35"/>
  <c r="C202" i="35" s="1"/>
  <c r="C203" i="35" s="1"/>
  <c r="C204" i="35" s="1"/>
  <c r="H200" i="35"/>
  <c r="F202" i="35" s="1"/>
  <c r="D414" i="35"/>
  <c r="D402" i="35"/>
  <c r="D406" i="35" s="1"/>
  <c r="E369" i="35"/>
  <c r="D370" i="35" s="1"/>
  <c r="D369" i="35" s="1"/>
  <c r="C370" i="35" s="1"/>
  <c r="C369" i="35" s="1"/>
  <c r="B345" i="35"/>
  <c r="B343" i="35"/>
  <c r="B323" i="35"/>
  <c r="B324" i="35" s="1"/>
  <c r="B325" i="35" s="1"/>
  <c r="B326" i="35" s="1"/>
  <c r="B327" i="35" s="1"/>
  <c r="B328" i="35" s="1"/>
  <c r="B329" i="35" s="1"/>
  <c r="B330" i="35" s="1"/>
  <c r="B331" i="35" s="1"/>
  <c r="C322" i="35"/>
  <c r="B315" i="35"/>
  <c r="B314" i="35" s="1"/>
  <c r="D322" i="35" s="1"/>
  <c r="B306" i="35"/>
  <c r="F282" i="35"/>
  <c r="F271" i="35"/>
  <c r="F273" i="35" s="1"/>
  <c r="F285" i="35" s="1"/>
  <c r="B230" i="35"/>
  <c r="B231" i="35" s="1"/>
  <c r="B232" i="35" s="1"/>
  <c r="C241" i="35" s="1"/>
  <c r="C240" i="35" s="1"/>
  <c r="G229" i="35" s="1"/>
  <c r="C236" i="13"/>
  <c r="C237" i="13"/>
  <c r="C163" i="13"/>
  <c r="E131" i="13"/>
  <c r="E134" i="13" s="1"/>
  <c r="D135" i="13" s="1"/>
  <c r="D134" i="13" s="1"/>
  <c r="C135" i="13" s="1"/>
  <c r="C134" i="13" s="1"/>
  <c r="B135" i="13" s="1"/>
  <c r="B134" i="13" s="1"/>
  <c r="C32" i="13"/>
  <c r="H118" i="13"/>
  <c r="H119" i="13"/>
  <c r="E32" i="13"/>
  <c r="H121" i="13"/>
  <c r="H120" i="13"/>
  <c r="E205" i="24" l="1"/>
  <c r="F205" i="24" s="1"/>
  <c r="G205" i="24"/>
  <c r="C206" i="24" s="1"/>
  <c r="D207" i="24"/>
  <c r="E122" i="24"/>
  <c r="G74" i="24"/>
  <c r="F309" i="24"/>
  <c r="B310" i="24" s="1"/>
  <c r="D310" i="24" s="1"/>
  <c r="F457" i="29"/>
  <c r="E454" i="29"/>
  <c r="D485" i="24"/>
  <c r="D389" i="24"/>
  <c r="D398" i="24"/>
  <c r="A398" i="24"/>
  <c r="F359" i="24"/>
  <c r="D309" i="24"/>
  <c r="E309" i="24" s="1"/>
  <c r="F341" i="24"/>
  <c r="F351" i="24"/>
  <c r="F350" i="24" s="1"/>
  <c r="C310" i="24"/>
  <c r="E517" i="22"/>
  <c r="F439" i="35"/>
  <c r="F438" i="35" s="1"/>
  <c r="F212" i="35"/>
  <c r="F201" i="35"/>
  <c r="F283" i="35"/>
  <c r="B344" i="35"/>
  <c r="D323" i="35"/>
  <c r="D324" i="35" s="1"/>
  <c r="D325" i="35" s="1"/>
  <c r="D326" i="35" s="1"/>
  <c r="D327" i="35" s="1"/>
  <c r="D328" i="35" s="1"/>
  <c r="D329" i="35" s="1"/>
  <c r="D330" i="35" s="1"/>
  <c r="D331" i="35" s="1"/>
  <c r="E322" i="35"/>
  <c r="C323" i="35" s="1"/>
  <c r="E206" i="24" l="1"/>
  <c r="F206" i="24" s="1"/>
  <c r="G206" i="24"/>
  <c r="C207" i="24" s="1"/>
  <c r="D208" i="24"/>
  <c r="C75" i="24"/>
  <c r="E75" i="24"/>
  <c r="D75" i="24" s="1"/>
  <c r="E455" i="29"/>
  <c r="E458" i="29"/>
  <c r="F342" i="24"/>
  <c r="F343" i="24" s="1"/>
  <c r="D341" i="24"/>
  <c r="G341" i="24" s="1"/>
  <c r="E310" i="24"/>
  <c r="C311" i="24"/>
  <c r="F310" i="24"/>
  <c r="B311" i="24" s="1"/>
  <c r="E323" i="35"/>
  <c r="C324" i="35" s="1"/>
  <c r="E324" i="35" s="1"/>
  <c r="C325" i="35" s="1"/>
  <c r="E325" i="35" s="1"/>
  <c r="C326" i="35" s="1"/>
  <c r="E326" i="35" s="1"/>
  <c r="C327" i="35" s="1"/>
  <c r="E327" i="35" s="1"/>
  <c r="C328" i="35" s="1"/>
  <c r="E328" i="35" s="1"/>
  <c r="C329" i="35" s="1"/>
  <c r="E329" i="35" s="1"/>
  <c r="C330" i="35" s="1"/>
  <c r="E330" i="35" s="1"/>
  <c r="C331" i="35" s="1"/>
  <c r="E331" i="35" s="1"/>
  <c r="C707" i="4"/>
  <c r="D707" i="4"/>
  <c r="E707" i="4"/>
  <c r="E710" i="4" s="1"/>
  <c r="D708" i="4" s="1"/>
  <c r="D678" i="4"/>
  <c r="D666" i="4"/>
  <c r="C664" i="4" s="1"/>
  <c r="C666" i="4" s="1"/>
  <c r="C638" i="4"/>
  <c r="C624" i="4"/>
  <c r="B621" i="4"/>
  <c r="B619" i="4"/>
  <c r="C600" i="4"/>
  <c r="C602" i="4" s="1"/>
  <c r="B487" i="4"/>
  <c r="A496" i="4"/>
  <c r="D506" i="4" s="1"/>
  <c r="A515" i="4"/>
  <c r="B536" i="4"/>
  <c r="B537" i="4" s="1"/>
  <c r="B538" i="4" s="1"/>
  <c r="B539" i="4" s="1"/>
  <c r="B540" i="4" s="1"/>
  <c r="B541" i="4" s="1"/>
  <c r="B542" i="4" s="1"/>
  <c r="B543" i="4" s="1"/>
  <c r="B544" i="4" s="1"/>
  <c r="C537" i="4"/>
  <c r="E539" i="4" s="1"/>
  <c r="C543" i="4" s="1"/>
  <c r="C542" i="4"/>
  <c r="F563" i="4"/>
  <c r="F560" i="4" s="1"/>
  <c r="C583" i="4"/>
  <c r="F575" i="4"/>
  <c r="G539" i="4"/>
  <c r="C515" i="4"/>
  <c r="C496" i="4"/>
  <c r="E207" i="24" l="1"/>
  <c r="F207" i="24" s="1"/>
  <c r="G207" i="24"/>
  <c r="C208" i="24" s="1"/>
  <c r="D209" i="24"/>
  <c r="G75" i="24"/>
  <c r="E459" i="29"/>
  <c r="C312" i="24"/>
  <c r="F311" i="24"/>
  <c r="B312" i="24" s="1"/>
  <c r="D311" i="24"/>
  <c r="E311" i="24" s="1"/>
  <c r="C342" i="24"/>
  <c r="E342" i="24"/>
  <c r="D342" i="24" s="1"/>
  <c r="F344" i="24"/>
  <c r="F345" i="24" s="1"/>
  <c r="F346" i="24" s="1"/>
  <c r="F362" i="24" s="1"/>
  <c r="F366" i="24" s="1"/>
  <c r="B624" i="4"/>
  <c r="D710" i="4"/>
  <c r="C708" i="4" s="1"/>
  <c r="C710" i="4" s="1"/>
  <c r="E544" i="4"/>
  <c r="D585" i="4"/>
  <c r="D583" i="4" s="1"/>
  <c r="E279" i="4"/>
  <c r="E261" i="4"/>
  <c r="C264" i="4" s="1"/>
  <c r="D240" i="4"/>
  <c r="C225" i="4"/>
  <c r="C223" i="4"/>
  <c r="C221" i="4"/>
  <c r="C220" i="4"/>
  <c r="D221" i="4"/>
  <c r="D224" i="4" s="1"/>
  <c r="C222" i="4" s="1"/>
  <c r="D53" i="4"/>
  <c r="E319" i="4"/>
  <c r="E320" i="4"/>
  <c r="E208" i="24" l="1"/>
  <c r="F208" i="24" s="1"/>
  <c r="G208" i="24"/>
  <c r="C209" i="24" s="1"/>
  <c r="D210" i="24"/>
  <c r="C76" i="24"/>
  <c r="E76" i="24"/>
  <c r="D76" i="24" s="1"/>
  <c r="F459" i="29"/>
  <c r="F312" i="24"/>
  <c r="B313" i="24" s="1"/>
  <c r="D312" i="24"/>
  <c r="E312" i="24" s="1"/>
  <c r="G342" i="24"/>
  <c r="C313" i="24"/>
  <c r="C224" i="4"/>
  <c r="D460" i="4"/>
  <c r="C452" i="4"/>
  <c r="C431" i="4"/>
  <c r="C417" i="4"/>
  <c r="D609" i="34"/>
  <c r="D623" i="34" s="1"/>
  <c r="D626" i="34" s="1"/>
  <c r="D586" i="34"/>
  <c r="D568" i="34"/>
  <c r="D538" i="34"/>
  <c r="C535" i="34" s="1"/>
  <c r="C532" i="34"/>
  <c r="C516" i="34"/>
  <c r="E499" i="34"/>
  <c r="E495" i="34" s="1"/>
  <c r="E469" i="34"/>
  <c r="E470" i="34" s="1"/>
  <c r="C402" i="34"/>
  <c r="D343" i="34"/>
  <c r="A309" i="34"/>
  <c r="B280" i="34"/>
  <c r="B402" i="32"/>
  <c r="B404" i="32" s="1"/>
  <c r="F403" i="32"/>
  <c r="F404" i="32" s="1"/>
  <c r="C270" i="32"/>
  <c r="C271" i="32" s="1"/>
  <c r="C272" i="32" s="1"/>
  <c r="C266" i="32"/>
  <c r="C267" i="32" s="1"/>
  <c r="C268" i="32" s="1"/>
  <c r="D271" i="32"/>
  <c r="D272" i="32" s="1"/>
  <c r="D273" i="32" s="1"/>
  <c r="D267" i="32"/>
  <c r="D268" i="32" s="1"/>
  <c r="D269" i="32" s="1"/>
  <c r="E267" i="32"/>
  <c r="E268" i="32" s="1"/>
  <c r="E269" i="32" s="1"/>
  <c r="E270" i="32" s="1"/>
  <c r="E271" i="32" s="1"/>
  <c r="E272" i="32" s="1"/>
  <c r="E273" i="32" s="1"/>
  <c r="D180" i="32"/>
  <c r="B128" i="32"/>
  <c r="D128" i="32"/>
  <c r="C128" i="32"/>
  <c r="C69" i="32"/>
  <c r="D658" i="32"/>
  <c r="D651" i="32"/>
  <c r="D653" i="32" s="1"/>
  <c r="D660" i="32" s="1"/>
  <c r="C615" i="32"/>
  <c r="C614" i="32"/>
  <c r="B614" i="32"/>
  <c r="B612" i="32"/>
  <c r="B615" i="32" s="1"/>
  <c r="D558" i="32"/>
  <c r="D557" i="32"/>
  <c r="D556" i="32"/>
  <c r="D549" i="32"/>
  <c r="D550" i="32" s="1"/>
  <c r="D559" i="32" s="1"/>
  <c r="E497" i="32"/>
  <c r="D503" i="32" s="1"/>
  <c r="D506" i="32" s="1"/>
  <c r="D461" i="32"/>
  <c r="C459" i="32" s="1"/>
  <c r="C458" i="32"/>
  <c r="C457" i="32"/>
  <c r="C411" i="32"/>
  <c r="C412" i="32" s="1"/>
  <c r="E361" i="32"/>
  <c r="E360" i="32"/>
  <c r="E359" i="32"/>
  <c r="E358" i="32"/>
  <c r="D318" i="32"/>
  <c r="C320" i="32" s="1"/>
  <c r="C316" i="32"/>
  <c r="B316" i="32" s="1"/>
  <c r="C254" i="32"/>
  <c r="D256" i="32"/>
  <c r="C258" i="32" s="1"/>
  <c r="C212" i="32"/>
  <c r="D213" i="32"/>
  <c r="C211" i="32" s="1"/>
  <c r="F155" i="32"/>
  <c r="D162" i="32" s="1"/>
  <c r="D164" i="32" s="1"/>
  <c r="C164" i="32" s="1"/>
  <c r="C166" i="32" s="1"/>
  <c r="D69" i="32"/>
  <c r="E69" i="32"/>
  <c r="E70" i="32" s="1"/>
  <c r="D68" i="32" s="1"/>
  <c r="D66" i="32"/>
  <c r="C66" i="32" s="1"/>
  <c r="H152" i="30"/>
  <c r="G147" i="30"/>
  <c r="G148" i="30"/>
  <c r="G149" i="30"/>
  <c r="G150" i="30"/>
  <c r="G146" i="30"/>
  <c r="I137" i="30"/>
  <c r="H137" i="30"/>
  <c r="G137" i="30"/>
  <c r="F137" i="30"/>
  <c r="E137" i="30"/>
  <c r="D137" i="30"/>
  <c r="D105" i="30"/>
  <c r="E101" i="30"/>
  <c r="E102" i="30" s="1"/>
  <c r="E103" i="30" s="1"/>
  <c r="E104" i="30" s="1"/>
  <c r="E105" i="30" s="1"/>
  <c r="A76" i="30"/>
  <c r="E79" i="30"/>
  <c r="E80" i="30"/>
  <c r="E81" i="30"/>
  <c r="E82" i="30"/>
  <c r="E78" i="30"/>
  <c r="G66" i="30"/>
  <c r="H420" i="29"/>
  <c r="H419" i="29"/>
  <c r="G420" i="29"/>
  <c r="G419" i="29"/>
  <c r="F420" i="29"/>
  <c r="F419" i="29"/>
  <c r="E384" i="29"/>
  <c r="E383" i="29"/>
  <c r="E382" i="29"/>
  <c r="E381" i="29"/>
  <c r="C384" i="29"/>
  <c r="C383" i="29"/>
  <c r="C382" i="29"/>
  <c r="C381" i="29"/>
  <c r="D381" i="29" s="1"/>
  <c r="A383" i="29"/>
  <c r="A382" i="29"/>
  <c r="E372" i="29"/>
  <c r="E373" i="29"/>
  <c r="E374" i="29"/>
  <c r="E375" i="29"/>
  <c r="E371" i="29"/>
  <c r="D287" i="30"/>
  <c r="F295" i="30" s="1"/>
  <c r="H284" i="30"/>
  <c r="F282" i="30"/>
  <c r="E282" i="30"/>
  <c r="I273" i="30"/>
  <c r="J273" i="30" s="1"/>
  <c r="H282" i="30" s="1"/>
  <c r="H272" i="30"/>
  <c r="I272" i="30" s="1"/>
  <c r="G272" i="30"/>
  <c r="E281" i="30" s="1"/>
  <c r="D237" i="30"/>
  <c r="F245" i="30" s="1"/>
  <c r="H236" i="30"/>
  <c r="E231" i="30"/>
  <c r="F231" i="30" s="1"/>
  <c r="G224" i="30"/>
  <c r="G223" i="30"/>
  <c r="E232" i="30" s="1"/>
  <c r="F232" i="30" s="1"/>
  <c r="G232" i="30" s="1"/>
  <c r="H232" i="30" s="1"/>
  <c r="D185" i="30"/>
  <c r="F193" i="30" s="1"/>
  <c r="H184" i="30"/>
  <c r="E180" i="30"/>
  <c r="E179" i="30"/>
  <c r="F179" i="30" s="1"/>
  <c r="G179" i="30" s="1"/>
  <c r="G172" i="30"/>
  <c r="G173" i="30" s="1"/>
  <c r="G175" i="30" s="1"/>
  <c r="I136" i="30"/>
  <c r="D134" i="30"/>
  <c r="E131" i="30"/>
  <c r="F131" i="30" s="1"/>
  <c r="G124" i="30"/>
  <c r="G123" i="30"/>
  <c r="E132" i="30" s="1"/>
  <c r="D96" i="30"/>
  <c r="G64" i="30"/>
  <c r="C62" i="30"/>
  <c r="D62" i="30" s="1"/>
  <c r="E62" i="30" s="1"/>
  <c r="F62" i="30" s="1"/>
  <c r="G62" i="30" s="1"/>
  <c r="C61" i="30"/>
  <c r="B60" i="30"/>
  <c r="B67" i="30" s="1"/>
  <c r="D77" i="30" s="1"/>
  <c r="C51" i="30"/>
  <c r="C53" i="30" s="1"/>
  <c r="C55" i="30" s="1"/>
  <c r="C63" i="30" s="1"/>
  <c r="D63" i="30" s="1"/>
  <c r="E63" i="30" s="1"/>
  <c r="F63" i="30" s="1"/>
  <c r="G63" i="30" s="1"/>
  <c r="H431" i="4"/>
  <c r="E429" i="34"/>
  <c r="J457" i="4"/>
  <c r="H417" i="4"/>
  <c r="J462" i="4"/>
  <c r="J452" i="4"/>
  <c r="E209" i="24" l="1"/>
  <c r="F209" i="24" s="1"/>
  <c r="G209" i="24"/>
  <c r="C210" i="24" s="1"/>
  <c r="D211" i="24"/>
  <c r="G76" i="24"/>
  <c r="C538" i="34"/>
  <c r="C407" i="32"/>
  <c r="C408" i="32" s="1"/>
  <c r="B385" i="29"/>
  <c r="F373" i="29"/>
  <c r="B383" i="29"/>
  <c r="F372" i="29"/>
  <c r="B384" i="29"/>
  <c r="F371" i="29"/>
  <c r="B382" i="29"/>
  <c r="F375" i="29"/>
  <c r="B381" i="29"/>
  <c r="F374" i="29"/>
  <c r="E343" i="24"/>
  <c r="D343" i="24" s="1"/>
  <c r="C343" i="24"/>
  <c r="F313" i="24"/>
  <c r="B314" i="24" s="1"/>
  <c r="D313" i="24"/>
  <c r="E313" i="24" s="1"/>
  <c r="C314" i="24"/>
  <c r="C456" i="4"/>
  <c r="C457" i="4" s="1"/>
  <c r="C461" i="4" s="1"/>
  <c r="C462" i="4" s="1"/>
  <c r="C275" i="32"/>
  <c r="D659" i="32"/>
  <c r="A665" i="32" s="1"/>
  <c r="D562" i="32"/>
  <c r="C460" i="32"/>
  <c r="C318" i="32"/>
  <c r="B320" i="32" s="1"/>
  <c r="B318" i="32" s="1"/>
  <c r="C256" i="32"/>
  <c r="C213" i="32"/>
  <c r="B211" i="32" s="1"/>
  <c r="B212" i="32"/>
  <c r="C132" i="32"/>
  <c r="D70" i="32"/>
  <c r="C68" i="32" s="1"/>
  <c r="C70" i="32" s="1"/>
  <c r="F145" i="30"/>
  <c r="D382" i="29"/>
  <c r="D383" i="29" s="1"/>
  <c r="H275" i="30"/>
  <c r="H277" i="30" s="1"/>
  <c r="F283" i="30" s="1"/>
  <c r="G225" i="30"/>
  <c r="G227" i="30" s="1"/>
  <c r="E233" i="30" s="1"/>
  <c r="F233" i="30" s="1"/>
  <c r="G233" i="30" s="1"/>
  <c r="H233" i="30" s="1"/>
  <c r="F281" i="30"/>
  <c r="C67" i="30"/>
  <c r="D78" i="30" s="1"/>
  <c r="D79" i="30" s="1"/>
  <c r="I134" i="30"/>
  <c r="D100" i="30"/>
  <c r="G231" i="30"/>
  <c r="E181" i="30"/>
  <c r="E185" i="30" s="1"/>
  <c r="F194" i="30" s="1"/>
  <c r="G181" i="30"/>
  <c r="H181" i="30" s="1"/>
  <c r="F181" i="30"/>
  <c r="G131" i="30"/>
  <c r="F132" i="30"/>
  <c r="G132" i="30" s="1"/>
  <c r="H132" i="30" s="1"/>
  <c r="I132" i="30" s="1"/>
  <c r="J272" i="30"/>
  <c r="G281" i="30"/>
  <c r="I275" i="30"/>
  <c r="I277" i="30" s="1"/>
  <c r="G283" i="30" s="1"/>
  <c r="E237" i="30"/>
  <c r="F246" i="30" s="1"/>
  <c r="G275" i="30"/>
  <c r="G277" i="30" s="1"/>
  <c r="E283" i="30" s="1"/>
  <c r="E287" i="30" s="1"/>
  <c r="F296" i="30" s="1"/>
  <c r="H179" i="30"/>
  <c r="D61" i="30"/>
  <c r="F180" i="30"/>
  <c r="G180" i="30" s="1"/>
  <c r="H180" i="30" s="1"/>
  <c r="G125" i="30"/>
  <c r="G127" i="30" s="1"/>
  <c r="G282" i="30"/>
  <c r="E210" i="24" l="1"/>
  <c r="F210" i="24" s="1"/>
  <c r="G210" i="24"/>
  <c r="C211" i="24" s="1"/>
  <c r="D212" i="24"/>
  <c r="C77" i="24"/>
  <c r="E77" i="24"/>
  <c r="D77" i="24" s="1"/>
  <c r="G343" i="24"/>
  <c r="F314" i="24"/>
  <c r="B315" i="24" s="1"/>
  <c r="D314" i="24"/>
  <c r="E314" i="24" s="1"/>
  <c r="C315" i="24"/>
  <c r="B213" i="32"/>
  <c r="D101" i="30"/>
  <c r="F287" i="30"/>
  <c r="F297" i="30" s="1"/>
  <c r="F237" i="30"/>
  <c r="F247" i="30" s="1"/>
  <c r="D384" i="29"/>
  <c r="E385" i="29" s="1"/>
  <c r="G185" i="30"/>
  <c r="G287" i="30"/>
  <c r="F298" i="30" s="1"/>
  <c r="H281" i="30"/>
  <c r="J275" i="30"/>
  <c r="J277" i="30" s="1"/>
  <c r="H283" i="30" s="1"/>
  <c r="E61" i="30"/>
  <c r="D67" i="30"/>
  <c r="F185" i="30"/>
  <c r="F195" i="30" s="1"/>
  <c r="H199" i="30" s="1"/>
  <c r="E133" i="30"/>
  <c r="F146" i="30" s="1"/>
  <c r="G133" i="30"/>
  <c r="H133" i="30" s="1"/>
  <c r="I133" i="30" s="1"/>
  <c r="F133" i="30"/>
  <c r="F147" i="30" s="1"/>
  <c r="H131" i="30"/>
  <c r="D80" i="30"/>
  <c r="D102" i="30"/>
  <c r="H185" i="30"/>
  <c r="F197" i="30" s="1"/>
  <c r="H231" i="30"/>
  <c r="H237" i="30" s="1"/>
  <c r="F249" i="30" s="1"/>
  <c r="H251" i="30" s="1"/>
  <c r="G237" i="30"/>
  <c r="F248" i="30" s="1"/>
  <c r="E211" i="24" l="1"/>
  <c r="F211" i="24" s="1"/>
  <c r="G211" i="24"/>
  <c r="C212" i="24" s="1"/>
  <c r="E344" i="24"/>
  <c r="D344" i="24" s="1"/>
  <c r="C344" i="24"/>
  <c r="G77" i="24"/>
  <c r="D315" i="24"/>
  <c r="E315" i="24" s="1"/>
  <c r="F315" i="24"/>
  <c r="B316" i="24" s="1"/>
  <c r="C316" i="24"/>
  <c r="F148" i="30"/>
  <c r="C385" i="29"/>
  <c r="D385" i="29" s="1"/>
  <c r="E387" i="29"/>
  <c r="D81" i="30"/>
  <c r="D104" i="30" s="1"/>
  <c r="D103" i="30"/>
  <c r="E67" i="30"/>
  <c r="F61" i="30"/>
  <c r="I131" i="30"/>
  <c r="F150" i="30" s="1"/>
  <c r="F149" i="30"/>
  <c r="H287" i="30"/>
  <c r="F299" i="30" s="1"/>
  <c r="H301" i="30" s="1"/>
  <c r="G344" i="24" l="1"/>
  <c r="E212" i="24"/>
  <c r="F212" i="24" s="1"/>
  <c r="G212" i="24"/>
  <c r="E78" i="24"/>
  <c r="D78" i="24" s="1"/>
  <c r="C78" i="24"/>
  <c r="C317" i="24"/>
  <c r="F316" i="24"/>
  <c r="B317" i="24" s="1"/>
  <c r="D316" i="24"/>
  <c r="E316" i="24" s="1"/>
  <c r="G61" i="30"/>
  <c r="G67" i="30" s="1"/>
  <c r="D82" i="30" s="1"/>
  <c r="F67" i="30"/>
  <c r="E345" i="24" l="1"/>
  <c r="D345" i="24" s="1"/>
  <c r="G345" i="24" s="1"/>
  <c r="C345" i="24"/>
  <c r="G78" i="24"/>
  <c r="C318" i="24"/>
  <c r="F317" i="24"/>
  <c r="B318" i="24" s="1"/>
  <c r="D317" i="24"/>
  <c r="E317" i="24" s="1"/>
  <c r="A99" i="30"/>
  <c r="E346" i="24" l="1"/>
  <c r="D346" i="24" s="1"/>
  <c r="C346" i="24"/>
  <c r="C79" i="24"/>
  <c r="E79" i="24"/>
  <c r="D79" i="24" s="1"/>
  <c r="F318" i="24"/>
  <c r="D318" i="24"/>
  <c r="E318" i="24" s="1"/>
  <c r="G346" i="24" l="1"/>
  <c r="G79" i="24"/>
  <c r="E301" i="29"/>
  <c r="E80" i="24" l="1"/>
  <c r="D80" i="24" s="1"/>
  <c r="C80" i="24"/>
  <c r="D192" i="29"/>
  <c r="C192" i="29"/>
  <c r="G179" i="29"/>
  <c r="G178" i="29"/>
  <c r="F86" i="29"/>
  <c r="F88" i="29" s="1"/>
  <c r="E56" i="29"/>
  <c r="E57" i="29"/>
  <c r="E55" i="29"/>
  <c r="C54" i="29"/>
  <c r="D55" i="29" s="1"/>
  <c r="G166" i="29"/>
  <c r="G165" i="29"/>
  <c r="G42" i="29"/>
  <c r="F117" i="29"/>
  <c r="G80" i="24" l="1"/>
  <c r="E81" i="24"/>
  <c r="D81" i="24" s="1"/>
  <c r="C81" i="24"/>
  <c r="G81" i="24" s="1"/>
  <c r="F55" i="29"/>
  <c r="D56" i="29" s="1"/>
  <c r="F56" i="29" s="1"/>
  <c r="D57" i="29" s="1"/>
  <c r="D317" i="27"/>
  <c r="D316" i="27"/>
  <c r="E303" i="27"/>
  <c r="E307" i="27" s="1"/>
  <c r="F176" i="27"/>
  <c r="C69" i="27"/>
  <c r="D61" i="27"/>
  <c r="E61" i="27" s="1"/>
  <c r="D60" i="27"/>
  <c r="E60" i="27" s="1"/>
  <c r="D59" i="27"/>
  <c r="E59" i="27" s="1"/>
  <c r="D58" i="27"/>
  <c r="E58" i="27" s="1"/>
  <c r="G61" i="27" s="1"/>
  <c r="B67" i="26"/>
  <c r="A67" i="26"/>
  <c r="A68" i="26" s="1"/>
  <c r="A69" i="26" s="1"/>
  <c r="A70" i="26" s="1"/>
  <c r="A71" i="26" s="1"/>
  <c r="A72" i="26" s="1"/>
  <c r="A73" i="26" s="1"/>
  <c r="A74" i="26" s="1"/>
  <c r="A75" i="26" s="1"/>
  <c r="A76" i="26" s="1"/>
  <c r="A77" i="26" s="1"/>
  <c r="A78" i="26" s="1"/>
  <c r="F241" i="26"/>
  <c r="D258" i="26" s="1"/>
  <c r="D256" i="26" s="1"/>
  <c r="A236" i="26"/>
  <c r="A237" i="26" s="1"/>
  <c r="A238" i="26" s="1"/>
  <c r="A239" i="26" s="1"/>
  <c r="A240" i="26" s="1"/>
  <c r="A241" i="26" s="1"/>
  <c r="A242" i="26" s="1"/>
  <c r="B216" i="26"/>
  <c r="F216" i="26" s="1"/>
  <c r="B217" i="26" s="1"/>
  <c r="F217" i="26" s="1"/>
  <c r="B218" i="26" s="1"/>
  <c r="F218" i="26" s="1"/>
  <c r="B219" i="26" s="1"/>
  <c r="F219" i="26" s="1"/>
  <c r="B220" i="26" s="1"/>
  <c r="F220" i="26" s="1"/>
  <c r="A216" i="26"/>
  <c r="A217" i="26" s="1"/>
  <c r="A218" i="26" s="1"/>
  <c r="A219" i="26" s="1"/>
  <c r="A220" i="26" s="1"/>
  <c r="A221" i="26" s="1"/>
  <c r="B164" i="26"/>
  <c r="F164" i="26" s="1"/>
  <c r="B165" i="26" s="1"/>
  <c r="F165" i="26" s="1"/>
  <c r="B166" i="26" s="1"/>
  <c r="F166" i="26" s="1"/>
  <c r="B167" i="26" s="1"/>
  <c r="F167" i="26" s="1"/>
  <c r="B168" i="26" s="1"/>
  <c r="F168" i="26" s="1"/>
  <c r="A164" i="26"/>
  <c r="A165" i="26" s="1"/>
  <c r="A166" i="26" s="1"/>
  <c r="A167" i="26" s="1"/>
  <c r="A168" i="26" s="1"/>
  <c r="A169" i="26" s="1"/>
  <c r="A170" i="26" s="1"/>
  <c r="C128" i="26"/>
  <c r="B103" i="26"/>
  <c r="D103" i="26" s="1"/>
  <c r="C103" i="26"/>
  <c r="C104" i="26" s="1"/>
  <c r="A103" i="26"/>
  <c r="A104" i="26" s="1"/>
  <c r="A105" i="26" s="1"/>
  <c r="A106" i="26" s="1"/>
  <c r="A107" i="26" s="1"/>
  <c r="A108" i="26" s="1"/>
  <c r="A109" i="26" s="1"/>
  <c r="A110" i="26" s="1"/>
  <c r="A111" i="26" s="1"/>
  <c r="A112" i="26" s="1"/>
  <c r="A309" i="24"/>
  <c r="A310" i="24" s="1"/>
  <c r="C292" i="24"/>
  <c r="C291" i="24"/>
  <c r="C290" i="24"/>
  <c r="C293" i="24" s="1"/>
  <c r="C262" i="24"/>
  <c r="J259" i="24" s="1"/>
  <c r="B268" i="24"/>
  <c r="B269" i="24" s="1"/>
  <c r="B270" i="24" s="1"/>
  <c r="B271" i="24" s="1"/>
  <c r="B272" i="24" s="1"/>
  <c r="B273" i="24" s="1"/>
  <c r="B274" i="24" s="1"/>
  <c r="B275" i="24" s="1"/>
  <c r="B276" i="24" s="1"/>
  <c r="B277" i="24" s="1"/>
  <c r="B278" i="24" s="1"/>
  <c r="B279" i="24" s="1"/>
  <c r="B73" i="24"/>
  <c r="B74" i="24" s="1"/>
  <c r="B75" i="24" s="1"/>
  <c r="B76" i="24" s="1"/>
  <c r="B77" i="24" s="1"/>
  <c r="B78" i="24" s="1"/>
  <c r="B79" i="24" s="1"/>
  <c r="B80" i="24" s="1"/>
  <c r="B81" i="24" s="1"/>
  <c r="B82" i="24" s="1"/>
  <c r="B83" i="24" s="1"/>
  <c r="B84" i="24" s="1"/>
  <c r="B85" i="24" s="1"/>
  <c r="B86" i="24" s="1"/>
  <c r="B87" i="24" s="1"/>
  <c r="B88" i="24" s="1"/>
  <c r="B89" i="24" s="1"/>
  <c r="B90" i="24" s="1"/>
  <c r="B91" i="24" s="1"/>
  <c r="B92" i="24" s="1"/>
  <c r="B93" i="24" s="1"/>
  <c r="B94" i="24" s="1"/>
  <c r="B95" i="24" s="1"/>
  <c r="B96" i="24" s="1"/>
  <c r="C703" i="22"/>
  <c r="C702" i="22"/>
  <c r="C701" i="22"/>
  <c r="C699" i="22"/>
  <c r="C720" i="22"/>
  <c r="E721" i="22"/>
  <c r="E722" i="22" s="1"/>
  <c r="B716" i="22"/>
  <c r="C724" i="22" s="1"/>
  <c r="D677" i="22"/>
  <c r="D678" i="22" s="1"/>
  <c r="F678" i="22"/>
  <c r="F679" i="22" s="1"/>
  <c r="B672" i="22"/>
  <c r="B671" i="22"/>
  <c r="B670" i="22"/>
  <c r="B669" i="22"/>
  <c r="H628" i="22"/>
  <c r="H625" i="22"/>
  <c r="H622" i="22"/>
  <c r="H617" i="22"/>
  <c r="H614" i="22"/>
  <c r="G578" i="22"/>
  <c r="D585" i="22" s="1"/>
  <c r="B566" i="22"/>
  <c r="E222" i="18"/>
  <c r="F281" i="13"/>
  <c r="E283" i="13" s="1"/>
  <c r="E281" i="13" s="1"/>
  <c r="D283" i="13" s="1"/>
  <c r="D281" i="13" s="1"/>
  <c r="C275" i="13"/>
  <c r="C239" i="13"/>
  <c r="C248" i="13"/>
  <c r="B250" i="13" s="1"/>
  <c r="B248" i="13" s="1"/>
  <c r="I239" i="13"/>
  <c r="C214" i="13"/>
  <c r="H111" i="13"/>
  <c r="G53" i="13"/>
  <c r="B398" i="4"/>
  <c r="B399" i="4" s="1"/>
  <c r="B380" i="4"/>
  <c r="E351" i="4"/>
  <c r="E352" i="4" s="1"/>
  <c r="E353" i="4" s="1"/>
  <c r="C349" i="4"/>
  <c r="B320" i="4"/>
  <c r="B319" i="4"/>
  <c r="F380" i="4"/>
  <c r="H351" i="4"/>
  <c r="C122" i="24"/>
  <c r="H352" i="4"/>
  <c r="F398" i="4"/>
  <c r="F399" i="4"/>
  <c r="G65" i="27"/>
  <c r="H353" i="4"/>
  <c r="B275" i="13"/>
  <c r="H349" i="4"/>
  <c r="C82" i="24" l="1"/>
  <c r="E82" i="24"/>
  <c r="D82" i="24" s="1"/>
  <c r="F67" i="26"/>
  <c r="B68" i="26" s="1"/>
  <c r="E68" i="26"/>
  <c r="E268" i="24"/>
  <c r="J262" i="24"/>
  <c r="F268" i="24" s="1"/>
  <c r="C279" i="27"/>
  <c r="F183" i="27"/>
  <c r="F194" i="27" s="1"/>
  <c r="B221" i="26"/>
  <c r="C221" i="26"/>
  <c r="A222" i="26"/>
  <c r="B169" i="26"/>
  <c r="E169" i="26"/>
  <c r="E170" i="26" s="1"/>
  <c r="F170" i="26" s="1"/>
  <c r="D169" i="26"/>
  <c r="C169" i="26"/>
  <c r="C105" i="26"/>
  <c r="E103" i="26"/>
  <c r="F103" i="26"/>
  <c r="B104" i="26" s="1"/>
  <c r="A311" i="24"/>
  <c r="A312" i="24" s="1"/>
  <c r="A313" i="24" s="1"/>
  <c r="A314" i="24" s="1"/>
  <c r="A315" i="24" s="1"/>
  <c r="A316" i="24" s="1"/>
  <c r="A317" i="24" s="1"/>
  <c r="A318" i="24" s="1"/>
  <c r="D679" i="22"/>
  <c r="C68" i="26" l="1"/>
  <c r="F68" i="26" s="1"/>
  <c r="B69" i="26" s="1"/>
  <c r="D69" i="26" s="1"/>
  <c r="G82" i="24"/>
  <c r="E69" i="26"/>
  <c r="E70" i="26" s="1"/>
  <c r="E71" i="26" s="1"/>
  <c r="E72" i="26" s="1"/>
  <c r="E73" i="26" s="1"/>
  <c r="E74" i="26" s="1"/>
  <c r="E75" i="26" s="1"/>
  <c r="E76" i="26" s="1"/>
  <c r="E77" i="26" s="1"/>
  <c r="F269" i="24"/>
  <c r="F270" i="24" s="1"/>
  <c r="F271" i="24" s="1"/>
  <c r="F272" i="24" s="1"/>
  <c r="F273" i="24" s="1"/>
  <c r="F274" i="24" s="1"/>
  <c r="F275" i="24" s="1"/>
  <c r="F276" i="24" s="1"/>
  <c r="F277" i="24" s="1"/>
  <c r="F278" i="24" s="1"/>
  <c r="F279" i="24" s="1"/>
  <c r="D268" i="24"/>
  <c r="G268" i="24" s="1"/>
  <c r="C269" i="24" s="1"/>
  <c r="E269" i="24" s="1"/>
  <c r="D269" i="24" s="1"/>
  <c r="G269" i="24" s="1"/>
  <c r="C270" i="24" s="1"/>
  <c r="E270" i="24" s="1"/>
  <c r="D270" i="24" s="1"/>
  <c r="G270" i="24" s="1"/>
  <c r="C271" i="24" s="1"/>
  <c r="E271" i="24" s="1"/>
  <c r="D271" i="24" s="1"/>
  <c r="G271" i="24" s="1"/>
  <c r="C272" i="24" s="1"/>
  <c r="E272" i="24" s="1"/>
  <c r="D272" i="24" s="1"/>
  <c r="G272" i="24" s="1"/>
  <c r="C273" i="24" s="1"/>
  <c r="C222" i="26"/>
  <c r="F221" i="26"/>
  <c r="B222" i="26" s="1"/>
  <c r="D221" i="26"/>
  <c r="E221" i="26" s="1"/>
  <c r="F169" i="26"/>
  <c r="B170" i="26" s="1"/>
  <c r="C106" i="26"/>
  <c r="D104" i="26"/>
  <c r="E104" i="26" s="1"/>
  <c r="F104" i="26"/>
  <c r="B105" i="26" s="1"/>
  <c r="C69" i="26" l="1"/>
  <c r="F69" i="26"/>
  <c r="B70" i="26" s="1"/>
  <c r="D70" i="26" s="1"/>
  <c r="E83" i="24"/>
  <c r="D83" i="24" s="1"/>
  <c r="C83" i="24"/>
  <c r="E273" i="24"/>
  <c r="D273" i="24" s="1"/>
  <c r="G273" i="24" s="1"/>
  <c r="C274" i="24" s="1"/>
  <c r="F222" i="26"/>
  <c r="D222" i="26"/>
  <c r="E222" i="26" s="1"/>
  <c r="C170" i="26"/>
  <c r="D170" i="26"/>
  <c r="F105" i="26"/>
  <c r="B106" i="26" s="1"/>
  <c r="D105" i="26"/>
  <c r="E105" i="26" s="1"/>
  <c r="C107" i="26"/>
  <c r="C70" i="26" l="1"/>
  <c r="F70" i="26"/>
  <c r="B71" i="26" s="1"/>
  <c r="D71" i="26" s="1"/>
  <c r="G83" i="24"/>
  <c r="E274" i="24"/>
  <c r="D274" i="24" s="1"/>
  <c r="G274" i="24" s="1"/>
  <c r="C275" i="24" s="1"/>
  <c r="C108" i="26"/>
  <c r="F106" i="26"/>
  <c r="B107" i="26" s="1"/>
  <c r="D106" i="26"/>
  <c r="E106" i="26" s="1"/>
  <c r="C71" i="26" l="1"/>
  <c r="F71" i="26" s="1"/>
  <c r="B72" i="26" s="1"/>
  <c r="D72" i="26" s="1"/>
  <c r="E84" i="24"/>
  <c r="D84" i="24" s="1"/>
  <c r="G84" i="24" s="1"/>
  <c r="C84" i="24"/>
  <c r="E275" i="24"/>
  <c r="D275" i="24" s="1"/>
  <c r="G275" i="24" s="1"/>
  <c r="C276" i="24" s="1"/>
  <c r="E276" i="24" s="1"/>
  <c r="D276" i="24" s="1"/>
  <c r="G276" i="24" s="1"/>
  <c r="C277" i="24" s="1"/>
  <c r="E277" i="24" s="1"/>
  <c r="D277" i="24" s="1"/>
  <c r="G277" i="24" s="1"/>
  <c r="C278" i="24" s="1"/>
  <c r="F107" i="26"/>
  <c r="B108" i="26" s="1"/>
  <c r="D107" i="26"/>
  <c r="E107" i="26" s="1"/>
  <c r="C109" i="26"/>
  <c r="C72" i="26" l="1"/>
  <c r="F72" i="26" s="1"/>
  <c r="B73" i="26" s="1"/>
  <c r="D73" i="26" s="1"/>
  <c r="C85" i="24"/>
  <c r="E85" i="24"/>
  <c r="D85" i="24" s="1"/>
  <c r="G85" i="24" s="1"/>
  <c r="E278" i="24"/>
  <c r="D278" i="24" s="1"/>
  <c r="G278" i="24" s="1"/>
  <c r="C279" i="24" s="1"/>
  <c r="C110" i="26"/>
  <c r="F108" i="26"/>
  <c r="B109" i="26" s="1"/>
  <c r="D108" i="26"/>
  <c r="E108" i="26" s="1"/>
  <c r="C73" i="26" l="1"/>
  <c r="F73" i="26" s="1"/>
  <c r="B74" i="26" s="1"/>
  <c r="D74" i="26" s="1"/>
  <c r="E86" i="24"/>
  <c r="D86" i="24" s="1"/>
  <c r="C86" i="24"/>
  <c r="G86" i="24"/>
  <c r="E279" i="24"/>
  <c r="D279" i="24" s="1"/>
  <c r="G279" i="24" s="1"/>
  <c r="F109" i="26"/>
  <c r="B110" i="26" s="1"/>
  <c r="D109" i="26"/>
  <c r="E109" i="26" s="1"/>
  <c r="C111" i="26"/>
  <c r="C74" i="26" l="1"/>
  <c r="F74" i="26" s="1"/>
  <c r="B75" i="26" s="1"/>
  <c r="D75" i="26" s="1"/>
  <c r="C87" i="24"/>
  <c r="E87" i="24"/>
  <c r="D87" i="24" s="1"/>
  <c r="C112" i="26"/>
  <c r="F110" i="26"/>
  <c r="B111" i="26" s="1"/>
  <c r="D110" i="26"/>
  <c r="E110" i="26" s="1"/>
  <c r="C75" i="26" l="1"/>
  <c r="F75" i="26"/>
  <c r="B76" i="26"/>
  <c r="D76" i="26" s="1"/>
  <c r="C76" i="26" s="1"/>
  <c r="G87" i="24"/>
  <c r="E88" i="24"/>
  <c r="D88" i="24" s="1"/>
  <c r="C88" i="24"/>
  <c r="F111" i="26"/>
  <c r="B112" i="26" s="1"/>
  <c r="D111" i="26"/>
  <c r="E111" i="26" s="1"/>
  <c r="F76" i="26" l="1"/>
  <c r="B77" i="26"/>
  <c r="D77" i="26" s="1"/>
  <c r="C77" i="26" s="1"/>
  <c r="G88" i="24"/>
  <c r="C89" i="24"/>
  <c r="E89" i="24"/>
  <c r="D89" i="24" s="1"/>
  <c r="F112" i="26"/>
  <c r="D112" i="26"/>
  <c r="E112" i="26" s="1"/>
  <c r="F77" i="26" l="1"/>
  <c r="B78" i="26" s="1"/>
  <c r="G89" i="24"/>
  <c r="D78" i="26" l="1"/>
  <c r="C78" i="26"/>
  <c r="F78" i="26" s="1"/>
  <c r="C90" i="24"/>
  <c r="E90" i="24"/>
  <c r="D90" i="24" s="1"/>
  <c r="G90" i="24" l="1"/>
  <c r="E91" i="24" l="1"/>
  <c r="D91" i="24" s="1"/>
  <c r="C91" i="24"/>
  <c r="G91" i="24" l="1"/>
  <c r="E92" i="24" l="1"/>
  <c r="D92" i="24" s="1"/>
  <c r="C92" i="24"/>
  <c r="G92" i="24" l="1"/>
  <c r="E93" i="24" l="1"/>
  <c r="D93" i="24" s="1"/>
  <c r="C93" i="24"/>
  <c r="G93" i="24" l="1"/>
  <c r="E94" i="24" l="1"/>
  <c r="D94" i="24" s="1"/>
  <c r="C94" i="24"/>
  <c r="G94" i="24" l="1"/>
  <c r="C95" i="24" l="1"/>
  <c r="E95" i="24"/>
  <c r="D95" i="24" s="1"/>
  <c r="G95" i="24" l="1"/>
  <c r="E96" i="24" s="1"/>
  <c r="D96" i="24" s="1"/>
  <c r="C96" i="24"/>
  <c r="G96" i="24" l="1"/>
</calcChain>
</file>

<file path=xl/sharedStrings.xml><?xml version="1.0" encoding="utf-8"?>
<sst xmlns="http://schemas.openxmlformats.org/spreadsheetml/2006/main" count="5250" uniqueCount="3509">
  <si>
    <t>מחברת הקורס ״יסודות המימון״ לחשבונאיות וחשבונאים</t>
  </si>
  <si>
    <t>פרטי התקשרות:</t>
  </si>
  <si>
    <t>shay.tsaban@gmail.com</t>
  </si>
  <si>
    <t>Email</t>
  </si>
  <si>
    <t>Shay Tsaban</t>
  </si>
  <si>
    <t>Facebook</t>
  </si>
  <si>
    <t>shaytsaban</t>
  </si>
  <si>
    <t>Instagram</t>
  </si>
  <si>
    <t>מחברת זו תתעדכן לייב משיעור לשיעור. כרגע תמצאו בה את כל תכני הסמסטר כפי שהועברו מסמסטר קודם, אך אנו נהיה</t>
  </si>
  <si>
    <t>אדפטיביים ונוסיף, נעדכן ונרחיב, בהתאם לדינמיקה מולכם.</t>
  </si>
  <si>
    <t>תאריך</t>
  </si>
  <si>
    <t>מס׳ מפגש</t>
  </si>
  <si>
    <t>נושא</t>
  </si>
  <si>
    <t>שיעורי בית</t>
  </si>
  <si>
    <t>מבוא לקורס</t>
  </si>
  <si>
    <t>מנהלות ודרך הלמידה</t>
  </si>
  <si>
    <t>מקורות הלמידה בקורס:</t>
  </si>
  <si>
    <t>מחברת הקורס - האורים והתומים</t>
  </si>
  <si>
    <t>תרגילי בית עם פתרון מלא - לא להגשה.</t>
  </si>
  <si>
    <t>תרגילי תרגול שפותרים בתרגול הפרונטלי העוקב.</t>
  </si>
  <si>
    <t xml:space="preserve">תוכן: </t>
  </si>
  <si>
    <t>ערך עתידי - משמעות</t>
  </si>
  <si>
    <t>ערך עתידי של סכום יחיד - ריבית פשוטה</t>
  </si>
  <si>
    <t>ערך עתידי של סכום יחיד - ריבית דריבית, מתמטי ואקסל</t>
  </si>
  <si>
    <t>יישומים וחילוצים</t>
  </si>
  <si>
    <t>ערך עתידי - חזרה ורענון</t>
  </si>
  <si>
    <t>ערך עתידי - יישומי חילוצים: ריבית, תקופות, פרשנות לשאלות</t>
  </si>
  <si>
    <t>ערך עתידי - המשמעות של סדרה ויישומים קשורים</t>
  </si>
  <si>
    <t>ערך נוכחי של סכום יחיד</t>
  </si>
  <si>
    <t>יישום נוסחה אלגברית</t>
  </si>
  <si>
    <t>FV</t>
  </si>
  <si>
    <t>יישום חישוב PV באקסל</t>
  </si>
  <si>
    <t>מתי מתקיימת אדישות בין חלופות / בחירה בין חלופות</t>
  </si>
  <si>
    <t>חישוב ערך נוכחי של סכום יחיד כשהריבית משתנה</t>
  </si>
  <si>
    <t>PV</t>
  </si>
  <si>
    <t>ערך נוכחי של סדרות - חזרה ויישומים</t>
  </si>
  <si>
    <t>ערך נוכחי של סדרה נדחית (כולל תקופת המתנה)</t>
  </si>
  <si>
    <t>יישומי ערך נוכחי בחילוץ סכומי הפקדה נדרשת למטרה מוגדרת</t>
  </si>
  <si>
    <t>חישובי ריבית אפקטיבית: הבסיס</t>
  </si>
  <si>
    <t>חישובי ריבית אפקטיבית - המשך יישומים</t>
  </si>
  <si>
    <t>הלוואות ולוחות סילוקין - ללא הצמדות</t>
  </si>
  <si>
    <t>הלוואות ולוחות סילוקין - המשך יישומים, חילוצים וטכניקות</t>
  </si>
  <si>
    <t>לרבות: הלוואה עם יתרה בתום תקופה, הלוואת גרייס ושיחזורים</t>
  </si>
  <si>
    <t>אינפלציה והצמדות - ובתרגול עצמו יהיה בוחן</t>
  </si>
  <si>
    <t>קריטריונים לבחינת כדאיות השקעות</t>
  </si>
  <si>
    <t>קריטריונים לבחינת כדאיות השקעות - המשך</t>
  </si>
  <si>
    <t>בסיס לתזרימי מזומנים וחזרה לבחינה</t>
  </si>
  <si>
    <t>יסודות המימון - שיעור 1 - מבוא וערך הזמן של הכסף</t>
  </si>
  <si>
    <t>מנהלות משעממות:</t>
  </si>
  <si>
    <t>אין תרגילי הגשה, אך בלי תרגול לא צוברים מיומנות. ראו הוזהרתם :)</t>
  </si>
  <si>
    <t>עולם המימון עוסק, בהכללה גסה, בשני תתי תחומים:</t>
  </si>
  <si>
    <t>א. גיוס מימון: כיצד ״משיגים כסף״ - המשמעות הכספית ותוצרי הערך של נטילת התחייבויות מול גיוס הון עצמי.</t>
  </si>
  <si>
    <t xml:space="preserve">ב. השקעות: ״מה עושים עם הכסף״ - המשמעות הכספית של פרויקטים. </t>
  </si>
  <si>
    <r>
      <t xml:space="preserve">נתחיל בחישובי השקעות - ובפרט: </t>
    </r>
    <r>
      <rPr>
        <b/>
        <sz val="11"/>
        <color theme="1"/>
        <rFont val="David"/>
        <family val="2"/>
        <charset val="177"/>
      </rPr>
      <t>בחישוב ערך עתידי של השקעות</t>
    </r>
    <r>
      <rPr>
        <sz val="11"/>
        <color theme="1"/>
        <rFont val="David"/>
        <family val="2"/>
        <charset val="177"/>
      </rPr>
      <t>:</t>
    </r>
  </si>
  <si>
    <t xml:space="preserve">בעולם קיימת ריבית - שמשקפת את ערך הזמן של הכסף. </t>
  </si>
  <si>
    <t>בשפה פשוטה: ״באיזה שיעור (אחוז) סכום כספי יגדל כתוצאה מחלוף הזמן״.</t>
  </si>
  <si>
    <t>בהלוואות - באיזה שיעור החזר ההלוואה גבוה יותר מקרן ההלוואה.</t>
  </si>
  <si>
    <t xml:space="preserve">בהשקעות - באיזה שיעור הסכום בפירעון גבוה יותר מקרן ההשקעה. </t>
  </si>
  <si>
    <t>תת היישום הבסיסי ביותר של ערך עתידי - ערך עתידי של סכום יחיד</t>
  </si>
  <si>
    <t xml:space="preserve">המדובר בחישוב הסכום הנצבר בעתיד בגין השקעה או הפקדה חד פעמית בהווה. </t>
  </si>
  <si>
    <t xml:space="preserve">בהמשך, נציג גם את החישוב המורכב יותר העוסק בצבירת ערכים בגין הפקדות בתשלומים (תכנית חסכון בתשלומים, </t>
  </si>
  <si>
    <t>הפרשות לפנסיה). אך דיה לצרה בשעתה.</t>
  </si>
  <si>
    <t>נוסחאות בסיס מתמטיות - ערך עתידי של סכום יחיד (הבסיס... תמיד יש הרחבות יישומים תוך כדי התרגילים)</t>
  </si>
  <si>
    <t>ערך עתידי של סכום יחיד, ריבית קבועה המחושבת כריבית פשוטה:</t>
  </si>
  <si>
    <t>FV(Single, Simple, Fixed) = PV * (1 + r * n)</t>
  </si>
  <si>
    <t>כאשר:</t>
  </si>
  <si>
    <t>סכום ההפקדה / קרן ההלוואה (הסכום הראשוני, בזמן 0, בהווה)</t>
  </si>
  <si>
    <t>r</t>
  </si>
  <si>
    <t>הריבית הפשוטה לתקופה</t>
  </si>
  <si>
    <t>n</t>
  </si>
  <si>
    <t>מספר התקופות</t>
  </si>
  <si>
    <t xml:space="preserve">חישוב זה מבוצע מתמטית בלבד, לא ב-Excel. </t>
  </si>
  <si>
    <t>ערך עתידי של סכום יחיד, ריבית משתנה המחושבת כריבית פשוטה:</t>
  </si>
  <si>
    <t>FV(Single, Simple, Variable) = PV * (1 + r1 * n1 + r2 * n2 + ...)</t>
  </si>
  <si>
    <t>r1</t>
  </si>
  <si>
    <t>הריבית הפשוטה ה״ראשונה ברצף״</t>
  </si>
  <si>
    <t>n1</t>
  </si>
  <si>
    <t>מספר תקופות הריבית הפשוטה הראשונה</t>
  </si>
  <si>
    <t>r2</t>
  </si>
  <si>
    <t>הריבית הפשוטה ה״שניה ברצף״</t>
  </si>
  <si>
    <t>n2</t>
  </si>
  <si>
    <t>מספר תקופות הריבית הפשוטה השניה</t>
  </si>
  <si>
    <t xml:space="preserve">חישוב זה מבוצע מתמטית בלבד, לא ב - Excel. </t>
  </si>
  <si>
    <t>ערך עתידי של סכום יחיד, ריבית קבועה המחושבת כריבית דריבית (ברירת מחדל) - מתמטי:</t>
  </si>
  <si>
    <t>FV(Single,Compound,Fixed) = PV * (1 + r)^n</t>
  </si>
  <si>
    <t>ערך עתידי של סכום יחיד, ריבית קבועה המחושבת כריבית דריבית (ברירת מחדל) - Excel:</t>
  </si>
  <si>
    <t>ריבית תקופתית</t>
  </si>
  <si>
    <t>rate</t>
  </si>
  <si>
    <t>מס׳ תקופות ריבית</t>
  </si>
  <si>
    <t>nper</t>
  </si>
  <si>
    <t>תשלום תקופתי קבוע - 0</t>
  </si>
  <si>
    <t>pmt</t>
  </si>
  <si>
    <t>הפקדה בהווה - בסימן שלילי, הלוואה בהווה - בסימן חיובי</t>
  </si>
  <si>
    <t>[pv]</t>
  </si>
  <si>
    <t xml:space="preserve">הגדרה שרלוונטית רק בסדרות. אין צורך להזין (או - להזין 0). </t>
  </si>
  <si>
    <t>[type]</t>
  </si>
  <si>
    <t>והתחשיב:</t>
  </si>
  <si>
    <t>=fv(rate,nper,pmt,[pv],[type])</t>
  </si>
  <si>
    <t>FV(Single,Compound,Variable) = PV * (1 + r1)^(n1) * (1 + r2)^(n2) * …</t>
  </si>
  <si>
    <t>אין דרך קלה. פועלים בשלבים. יוצג בעיקר דרך הרגליים בתרגילים שנפתור.</t>
  </si>
  <si>
    <t>תקופת ריבית 2</t>
  </si>
  <si>
    <t>תקופת ריבית 1</t>
  </si>
  <si>
    <t>מזינים</t>
  </si>
  <si>
    <t>בסימן הפוך</t>
  </si>
  <si>
    <t>מחשבים</t>
  </si>
  <si>
    <t>fv</t>
  </si>
  <si>
    <t>FV(single, simple, fixed)</t>
  </si>
  <si>
    <t xml:space="preserve">אורי מסרי בוזו השקיעה היום בפיקדון סכום של 500,000 ש״ח לתקופה של 5 שנים. </t>
  </si>
  <si>
    <r>
      <t xml:space="preserve">הריבית השנתית בגין ההפקדה היא 6% לשנה, והיא מחושבת </t>
    </r>
    <r>
      <rPr>
        <b/>
        <sz val="11"/>
        <color rgb="FFFF0000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.</t>
    </r>
  </si>
  <si>
    <t xml:space="preserve">הקרן והריבית ייפרעו לחשבונה של אורי בתום השנה ה-5. </t>
  </si>
  <si>
    <t>מהו הסכום שתקבל אורי בתום השנה ה-5?</t>
  </si>
  <si>
    <t>פתרון:</t>
  </si>
  <si>
    <t>סכום שייפרע</t>
  </si>
  <si>
    <t>היום - זמן 0</t>
  </si>
  <si>
    <t>פירעון</t>
  </si>
  <si>
    <t>הפקדה</t>
  </si>
  <si>
    <t>סכום בעתיד</t>
  </si>
  <si>
    <t>ערך עתידי</t>
  </si>
  <si>
    <t>חד פעמית,</t>
  </si>
  <si>
    <t>FV = ?</t>
  </si>
  <si>
    <t>בודדת</t>
  </si>
  <si>
    <t xml:space="preserve">FV(single, simple, fixed) = 500,000 * (1 + 6% * 5) = </t>
  </si>
  <si>
    <t>בהכללה:</t>
  </si>
  <si>
    <t>FV(single, simple, variable)</t>
  </si>
  <si>
    <t xml:space="preserve">דונקי החציל לווה היום מבנק המועלים סכום של 100,000 ש״ח לתקופה של 3 שנים. </t>
  </si>
  <si>
    <t>קרן ההלוואה תפרע יחד עם הריבית הצבורה בתשלום אחד בתום 3 השנים.</t>
  </si>
  <si>
    <t>מהו הסכום הכולל שיצטרך דונקי לשלם בתום השנה ה-3?</t>
  </si>
  <si>
    <t>לווה</t>
  </si>
  <si>
    <t>FV(single,simple,variable) = 100,000 * (1 + 10% * 1 + 12% * 2) =</t>
  </si>
  <si>
    <t>בהכללה לנוסחה מתמטית:</t>
  </si>
  <si>
    <t>FV(single, compound, fixed)</t>
  </si>
  <si>
    <t xml:space="preserve">הדר הפקידה 5,000 ש״ח בתכנית חסכון ל-10 שנים. </t>
  </si>
  <si>
    <r>
      <t xml:space="preserve">התכנית מבטיחה ריבית שנתית בשיעור 4% </t>
    </r>
    <r>
      <rPr>
        <sz val="11"/>
        <color rgb="FFFF0000"/>
        <rFont val="David"/>
        <family val="2"/>
        <charset val="177"/>
      </rPr>
      <t xml:space="preserve">(שימו לב, לא אומרים לנו אם זו ריבית פשוטה או לא, ברירת המחדל היא </t>
    </r>
  </si>
  <si>
    <t xml:space="preserve">ריבית דריבית, ועליכם לדעת זאת). </t>
  </si>
  <si>
    <t>מהו הסכום שיעמוד לרשותה של הדר בתום 10 השנים? חשבו הן מתמטית והן על בסיס פונקציית הגיליון האלקטרוני</t>
  </si>
  <si>
    <t xml:space="preserve">של Excel. </t>
  </si>
  <si>
    <t>...</t>
  </si>
  <si>
    <t>הואיל והריבית איננה ריבית פשוטה, התהליך החישובי נשען על מנגנון ריבית דריבית / חזקה:</t>
  </si>
  <si>
    <t xml:space="preserve">FV = 5,000 * (1 + 4%)^10 = </t>
  </si>
  <si>
    <t>בנוסף, כאשר מדובר בחישוב ריבית דריבית (=לא מצויין ״ריבית פשוטה״), ניתן לחשב את הערך העתידי באמצעות פונקציית</t>
  </si>
  <si>
    <t xml:space="preserve">אקסל ייעודית שנקראת FV: </t>
  </si>
  <si>
    <t>שאלה 4 - ערך עתידי, סכום יחיד, ריבית דריבית משתנה</t>
  </si>
  <si>
    <t>FV(single, compound, variable)</t>
  </si>
  <si>
    <t xml:space="preserve">בוטביקה לוותה מהבנק סכום של 50,000 ש״ח לתקופה של 5 שנים. </t>
  </si>
  <si>
    <t>הריבית בשנה הראשונה - 8%.</t>
  </si>
  <si>
    <t>בשנה השניה - 9%.</t>
  </si>
  <si>
    <t>בכל שנה לאחר מכן - 12%.</t>
  </si>
  <si>
    <t>הקרן והריבית ייפרעו בתשלום אחד בתום 5 השנים.</t>
  </si>
  <si>
    <t>נדרש: מהו הסכום הכולל שיעמוד לרשותה של בוטביקה בתום השנה ה-5? חשבו הן מתמטית והן על בסיס פונקציית</t>
  </si>
  <si>
    <t xml:space="preserve">הגיליון האלקטרוני של Excel. </t>
  </si>
  <si>
    <t>הריבית **איננה** פשוטה, ולכן החישוב מבוסס על חזקות גועל נפש, ולא על מכפלות, כפי שמופיע להלן:</t>
  </si>
  <si>
    <r>
      <t xml:space="preserve">FV(Single,Compound,Variable) = </t>
    </r>
    <r>
      <rPr>
        <sz val="11"/>
        <color rgb="FFFF0000"/>
        <rFont val="David"/>
        <family val="2"/>
        <charset val="177"/>
      </rPr>
      <t>PV</t>
    </r>
    <r>
      <rPr>
        <sz val="11"/>
        <color theme="1"/>
        <rFont val="David"/>
        <family val="2"/>
        <charset val="177"/>
      </rPr>
      <t xml:space="preserve"> * (1 + r1)^(n1) * (1 + r2)^(n2) * …</t>
    </r>
  </si>
  <si>
    <t>יישום בנוסחאות אקסל: ערך עתידי, ריבית משתנה, ריבית דריבית:</t>
  </si>
  <si>
    <t>צבירה</t>
  </si>
  <si>
    <t>לזמן 2</t>
  </si>
  <si>
    <t>לזמן 1</t>
  </si>
  <si>
    <t>שאלה 5 - דומה לשאלה 4, אך ערכים חודשיים של ריבית</t>
  </si>
  <si>
    <t xml:space="preserve">דונגי הפקיד היום בבנק סכום של 100,000 ש״ח. הסכום הופקד ל-4 שנים. </t>
  </si>
  <si>
    <t>הריבית החודשית היא כדלקמן:</t>
  </si>
  <si>
    <t>בשנה הראשונה: 1% לחודש.</t>
  </si>
  <si>
    <t>בשנה השניה:  1.5% לחודש.</t>
  </si>
  <si>
    <t xml:space="preserve">בשנה השלישית: 2% לחודש. </t>
  </si>
  <si>
    <t>בשנה הרביעית: 0.5% לחודש.</t>
  </si>
  <si>
    <t>מהו הסכום שיעמוד לרשותו של דונגי בתום השנה ה-4?</t>
  </si>
  <si>
    <t xml:space="preserve">חשבו הן על בסיס נוסחה מתמטית והן על בסיס יישום Excel. </t>
  </si>
  <si>
    <t>ערך עתידי, ריבית דריבית, קודם - מתמטי:</t>
  </si>
  <si>
    <r>
      <t xml:space="preserve">FV = </t>
    </r>
    <r>
      <rPr>
        <sz val="11"/>
        <color rgb="FFFF0000"/>
        <rFont val="David"/>
        <family val="2"/>
        <charset val="177"/>
      </rPr>
      <t>100,000</t>
    </r>
    <r>
      <rPr>
        <sz val="11"/>
        <color theme="1"/>
        <rFont val="David"/>
        <family val="2"/>
        <charset val="177"/>
      </rPr>
      <t xml:space="preserve"> * (1 + 1%)^12 * (1 + 1.5%)^12 * (1 + 2%)^12 * (1 + 0.5%)^12 = </t>
    </r>
  </si>
  <si>
    <t>גישת אקסל:</t>
  </si>
  <si>
    <t>בודילו הפקיד היום בבנק סכום של 25,000 ש״ח לתקופה של 3 שנים.</t>
  </si>
  <si>
    <t>מהו שיעור הריבית השנתית שנושא החסכון, אם ידוע שבתום התקופה יהיו בידי בודילו 31,500 ש״ח?</t>
  </si>
  <si>
    <t>פתרון באמצעות אקסל:</t>
  </si>
  <si>
    <t xml:space="preserve">fv </t>
  </si>
  <si>
    <t>הסבר:</t>
  </si>
  <si>
    <t>=RATE(nper,pmt,pv,[fv],[type],[guess metumtam])</t>
  </si>
  <si>
    <t>חוץ מפרמטר ה - guess, מזינים את הכל, לפי הסדר.</t>
  </si>
  <si>
    <t>שאלה 7 - חילוץ סכום הפקדה נוסף (שאלת מחשבה)</t>
  </si>
  <si>
    <t>פורקיטו מעוניין לרכוש בעוד 10 חודשים מחשב Macbook Air שעלותו 3,500 ש״ח. לצורך כך, הוא מפקיד היום 500 ש״ח</t>
  </si>
  <si>
    <t xml:space="preserve">בתכנית חסכון הנושאת ריבית חודשית של 0.5%. בעוד חצי שנה, יוכל להפקיד סכום נוסף. מה צריך להיות סכום נוסף זה,  </t>
  </si>
  <si>
    <t xml:space="preserve">שיאפשר לו לרכוש את המחשב בתום החודש ה-10? בצעו חישוב מתמטי בלבד. </t>
  </si>
  <si>
    <t xml:space="preserve">יש כאן מצב שבו קיימות 2 הפקדות בודדות. </t>
  </si>
  <si>
    <t>האחת - מיידית, תצבור ריבית 10 חודשים.</t>
  </si>
  <si>
    <t xml:space="preserve">השניה - בעוד חצי שנה (6 חודשים) והיא תצבור ריבית 4 חודשים (עד לתום חודש 10). </t>
  </si>
  <si>
    <t>האם זו סדרה? התשובה שלילית! יש כאן שני סכומים בודדים (הם אינם קבועים, נציג הגדרה מלאה במפגש הבא).</t>
  </si>
  <si>
    <t>נפרק לחלקים:</t>
  </si>
  <si>
    <t>הצבירה בעד הסכום שהופקד היום, בסך 500 ש״ח:</t>
  </si>
  <si>
    <t xml:space="preserve">500 * (1 + 0.5%)^10 </t>
  </si>
  <si>
    <t>הצבירה בעד הסכום הלא ידוע, שמופקד בזמן 6, ל-4 חודשים (עד זמן 10):</t>
  </si>
  <si>
    <t xml:space="preserve">x * (1 + 0.5%)^4 </t>
  </si>
  <si>
    <t>סיכום שני הערכים צריך להיות 3,500:</t>
  </si>
  <si>
    <t>500 * (1 + 0.5%)^10 + x * (1 + 0.5%)^4 = 3,500</t>
  </si>
  <si>
    <t>נחשב את המחובר הראשון:</t>
  </si>
  <si>
    <t>525.57 + x * 1.005^4 = 3,500</t>
  </si>
  <si>
    <t>נעביר אותו אגף:</t>
  </si>
  <si>
    <t>x * 1.005^4 = 3,500 - 525.57</t>
  </si>
  <si>
    <t>נחלק שני האגפים ב-1.005 בחזקת 4:</t>
  </si>
  <si>
    <t xml:space="preserve">x * 1.005^4 = </t>
  </si>
  <si>
    <t>התשובה הסופית:</t>
  </si>
  <si>
    <t xml:space="preserve">x = </t>
  </si>
  <si>
    <t>אביב צודק, וסיכם עבורנו היטב את אופן ההתייחסות לסיטואציה</t>
  </si>
  <si>
    <t>שבה עלינו לחשב ערך עתידי לשני סכומים נפרדים.</t>
  </si>
  <si>
    <t>שאלה 8 - חילוץ תקופת הפקדה (שאלת מחשבה)</t>
  </si>
  <si>
    <t xml:space="preserve">בוליקי הפקיד היום סכום של 3,000 ש״ח. הוא מעוניין לרכוש בעוד מספר שנים Macbook Air M3 שעלותו הצפויה 4,510.89 ש״ח. </t>
  </si>
  <si>
    <t>כמה שנים עליו להמתין, אם תכנית החסכון נושאת ריבית שנתית  בשיעור 6%?</t>
  </si>
  <si>
    <t>לשם פשטות, בצעו את החילוץ ב - Excel בלבד.</t>
  </si>
  <si>
    <t xml:space="preserve">הערך המחולץ, מס׳ שנות הצבירה, פונקציית nper </t>
  </si>
  <si>
    <t xml:space="preserve">fv (נתון) = </t>
  </si>
  <si>
    <t>שאלה 9 - שאלת מחשבה חישובית מורכבת - סיפור</t>
  </si>
  <si>
    <t xml:space="preserve">פאוצ׳ילניה אינפורמציה מעוניינת לרכוש מכונה לחימום נקניקיות ב-31.12.2024. </t>
  </si>
  <si>
    <t xml:space="preserve">הניחו לשם פשטות כי היום, מועד קבלת ההחלטה, התאריך הוא 31.12.2023. </t>
  </si>
  <si>
    <t xml:space="preserve">הסכום שאותו תפקיד כעת לשם כך הינו 4,000 ש״ח. </t>
  </si>
  <si>
    <t xml:space="preserve">בנוסף, תפקיד בעוד 8 חודשים סכום של 3,000 ש״ח. </t>
  </si>
  <si>
    <t>בהנחה שידוע שהריבית החודשית היא 0.8%, האם פאוצ׳יניה תוכל להצליח לקנות מכונה לחימום נקניק אם ידוע שעלותה</t>
  </si>
  <si>
    <t>תהיה 8,500 ש״ח?</t>
  </si>
  <si>
    <t xml:space="preserve">הציגו הן דרך חישוב מתמטית והן דרך חישוב מבוססת גיליון אלקטרוני Excel. </t>
  </si>
  <si>
    <t>מתמטית:</t>
  </si>
  <si>
    <t xml:space="preserve">4,000 * (1 + 0.8%)^12 + 3,000 * (1 + 0.8%)^4 = </t>
  </si>
  <si>
    <t>לא מספיק למכונת הנקניק.</t>
  </si>
  <si>
    <t>אקסל:</t>
  </si>
  <si>
    <t>צבירה לזמן</t>
  </si>
  <si>
    <t>גישה זו נראית שונה לגמרי, מה עשית?</t>
  </si>
  <si>
    <t xml:space="preserve">חישבתי את סך הצבירה לתום חודש 8, </t>
  </si>
  <si>
    <t xml:space="preserve">והוספתי לה הפקדה נוספת של עוד 3,000, </t>
  </si>
  <si>
    <t>כך הגעתי ל-7,263, סכום שצבר ריבית</t>
  </si>
  <si>
    <t>תקופה של 4 חודשים נוספים.</t>
  </si>
  <si>
    <t>שאלה 10 - שאלת מחשבה וחילוץ סכום נוכחי</t>
  </si>
  <si>
    <t>לפתרון עצמי בבית, תעדכנו אם לא מסתדר</t>
  </si>
  <si>
    <t>בוניטו צריך לפרוע חוב לשי בסכום מסוים שיש לפרוע בעוד 3 שנים.</t>
  </si>
  <si>
    <t>בוניטו ערך חישוב פיננסי וממנו הסיק, כי אם יפקיד היום 10,000 ש״ח בתכנית חסכון ל-3 שנים, בעוד 3 שנים בדיוק</t>
  </si>
  <si>
    <t>יצטבר בזכותו סכום מספק לפירעון החוב. בהנחה שידוע שהריבית השנתית היא 5%, מהו סכום החוב?</t>
  </si>
  <si>
    <t>בצעו את התחשיב על בסיס יישומי Excel בלבד.</t>
  </si>
  <si>
    <t>תשובה סופית - זהו הערך העתידי, סכום החוב</t>
  </si>
  <si>
    <t>שאלה 11 - שאלת מחשבה - בחירה בין חלופות</t>
  </si>
  <si>
    <t>בורגלר יכול לבחור בין קבלת 1,000,000 ש״ח במזומן היום לבין קבלת 1,500,000 ש״ח בעוד 5 שנים.</t>
  </si>
  <si>
    <t>מהו שיעור הריבית השנתית אשר יוביל לאדישות בין החלופות (ויוביל לכך שהסכום היום יוביל לצבירה זהה לאלטרנטיבה</t>
  </si>
  <si>
    <t>בעתיד)? בצעו את התחשיב על בסיס יישומי Excel בלבד.</t>
  </si>
  <si>
    <t>כלי הפתרון - הריבית שתוביל לאדישות היא זו שמובילה לאותו ״יעד״, כלומר ריבית שאם נפקיד בה לתקופה של 5 שנים,</t>
  </si>
  <si>
    <t xml:space="preserve">התוצאה תהיה בדיוק 1,500,000 ש״ח (ולכן שקולה לחלופה הנגדית). </t>
  </si>
  <si>
    <t>לכן, נבנה תהליך פתרון שבו נציב את ההפקדה כ- pv בסך 1,000,000, את התוצאה העתידית fv כ - 1,500,000 ש״ח - הערך</t>
  </si>
  <si>
    <t>שמוביל לאדישות, ונחלץ את הריבית עם פונקציית rate:</t>
  </si>
  <si>
    <t>אם זו הריבית השנתית, החלופות שקולות:</t>
  </si>
  <si>
    <t xml:space="preserve">fv = </t>
  </si>
  <si>
    <t>שאלה 12 - שאלת מחשבה - חילוצים</t>
  </si>
  <si>
    <t xml:space="preserve">טונקי הפקיד סכום מסויים בחסכון. בחלוף 4 שנים צבר טונקי סכום של 40,000 ש״ח. </t>
  </si>
  <si>
    <t xml:space="preserve">בחלוף 7 שנים (3 שנים נוספות) צבר סכום של 55,000 ש״ח. </t>
  </si>
  <si>
    <t>נדרש חובה: מהי הריבית השנתית בחסכון?</t>
  </si>
  <si>
    <t>נדרש רשות: מהו סכום הכסף שהופקד בתכנית החסכון?</t>
  </si>
  <si>
    <t>למעשה מה שרואים כאן זה שסכום בסך 40,000 ש״ח צובר בחלוף 3 שנים ריבית שהופכת אותו ל-55,000 ש״ח.</t>
  </si>
  <si>
    <t>מכך אפשר לחלץ את הריבית השנתית.</t>
  </si>
  <si>
    <t>כשהיא תהיה בידינו, גם נוכל להשיב לנדרש הרשות.</t>
  </si>
  <si>
    <t>תחילה - חילוץ הריבית:</t>
  </si>
  <si>
    <t>צבירה מזמן 4</t>
  </si>
  <si>
    <t>לזמן 7</t>
  </si>
  <si>
    <t>הריבית בחסכון - לשנה (מחולץ):</t>
  </si>
  <si>
    <t xml:space="preserve">החלק המורכב יותר: אם אנחנו יודעים מה הצבירה לזמן 7, ומה הריבית - אפשר לחשב את ה - pv כי הריבית </t>
  </si>
  <si>
    <t xml:space="preserve">והתקופות ידועים, וזוהי ההפקדה בזמן 0. עם פונקציית pv אקסלית פשוטה (ועוד נרחיב על כך יותר במפגש 3 </t>
  </si>
  <si>
    <t>ואילך):</t>
  </si>
  <si>
    <t>כעת, חילוץ סכום הפקדה מקורי:</t>
  </si>
  <si>
    <t>צבירה מזמן 0</t>
  </si>
  <si>
    <t>מסקנה: סכום ההפקדה המקורי היה 26,161 ש״ח.</t>
  </si>
  <si>
    <t>יסודות המימון - שיעור 2 - המשך יישומים - ערך עתידי</t>
  </si>
  <si>
    <t>במפגש הקודם, הבהרנו חשיבותה של ריבית; שנצברת הן בגין סכומים שאנו משקיעים והן בגין סכומים</t>
  </si>
  <si>
    <t>שאנו לווים, ובגין זאת מגדילה את הערך העתידי. הצגנו נוסחאות מתמטיות לטיפול בחישוב ערך עתידי</t>
  </si>
  <si>
    <t>של סכומים ״יחידים״ במצבים שונים (כשהריבית קבועה, כשהריבית משתנה).</t>
  </si>
  <si>
    <t xml:space="preserve">הבהרנו כי ערך עתידי מחשבים בגיליון האלקטרוני (Excel) באמצעות פונקציה שנקראת FV: </t>
  </si>
  <si>
    <t>מזינים:</t>
  </si>
  <si>
    <t>שם הפונקציה</t>
  </si>
  <si>
    <t>ריבית</t>
  </si>
  <si>
    <t>סדרות</t>
  </si>
  <si>
    <t>תשלום תקופתי</t>
  </si>
  <si>
    <t>השקעה/הלוואה היום</t>
  </si>
  <si>
    <t xml:space="preserve">תחילת תקופה/סוף תקופה </t>
  </si>
  <si>
    <t>וכן הראינו שאם רוצים לחלץ את אחד מבין הפרמטרים האחרים, כאשר FV נתון, פשוט משתמשים בפונקציה</t>
  </si>
  <si>
    <t xml:space="preserve">המתארת את שמו (חילוץ ריבית עם פונקציית rate, חילוץ מס׳ תקופות עם nper וכן הלאה). </t>
  </si>
  <si>
    <t>במפגש הנוכחי:</t>
  </si>
  <si>
    <t xml:space="preserve">נמשיך ביישומי ערך עתידי מבוססי Excel, כולל חילוצים באמצעות פונקציות שונות. בתחתית מפגש זה, </t>
  </si>
  <si>
    <t>תמצאו תרגילים נוספים עם פתרונות מלאים לתרגול עצמי, מעבר לתכנים במודל של קבצי התרגול.</t>
  </si>
  <si>
    <t>שאלה 1 - חילוץ מספר תקופות כשהערך העתידי נתון, עם פונקציית NPER</t>
  </si>
  <si>
    <t xml:space="preserve">סהר אביטל מפקידה היום סכום של 80,000 ש״ח בתכנית חסכון הנושאת ריבית שנתית בשיעור 4%. </t>
  </si>
  <si>
    <t>כמה שנים יעברו, עד אשר הסכום המצוי ברשותה יושלש (כלומר, יהיה גבוה פי 3 מהסכום המקורי אותו הפקיד)?</t>
  </si>
  <si>
    <t>ריבית = כאן נתונה ריבית שנתית</t>
  </si>
  <si>
    <t>מספר תקופות הריבית בעסקה, אם הריבית שנתית - זה מס׳ השנים</t>
  </si>
  <si>
    <t>pv</t>
  </si>
  <si>
    <t>הפקדה חד פעמית בהווה (הפקדות מוזנות במינוס)</t>
  </si>
  <si>
    <t>אין כאן סדרת הפקדות אלא הפקדה בודדת, לכן 0</t>
  </si>
  <si>
    <t>פי 3 מהסכום המקורי: 80,000 * 3 = 240,000</t>
  </si>
  <si>
    <t>שאלה 2 - חילוץ ריבית כשהערך העתידי נתון, עם פונקציית RATE</t>
  </si>
  <si>
    <t xml:space="preserve">הראל ארבלי מעוניין לרכוש בעוד 5 שנים Macbook Pro חדש. עלותו צפויה להיות 8,000 ש״ח באותו המועד. </t>
  </si>
  <si>
    <t xml:space="preserve">לשם כך, מפקיד היום סכום של 6,000 ש״ח. </t>
  </si>
  <si>
    <r>
      <t xml:space="preserve">א. מהי הריבית </t>
    </r>
    <r>
      <rPr>
        <b/>
        <sz val="16"/>
        <rFont val="David"/>
        <family val="2"/>
        <charset val="177"/>
      </rPr>
      <t>השנתית</t>
    </r>
    <r>
      <rPr>
        <sz val="16"/>
        <rFont val="David"/>
        <family val="2"/>
        <charset val="177"/>
      </rPr>
      <t xml:space="preserve"> הנדרשת?</t>
    </r>
  </si>
  <si>
    <r>
      <t>ב. מהי הריבית ה</t>
    </r>
    <r>
      <rPr>
        <b/>
        <sz val="16"/>
        <rFont val="David"/>
        <family val="2"/>
        <charset val="177"/>
      </rPr>
      <t>חודשית</t>
    </r>
    <r>
      <rPr>
        <sz val="16"/>
        <rFont val="David"/>
        <family val="2"/>
        <charset val="177"/>
      </rPr>
      <t xml:space="preserve"> הנדרשת?</t>
    </r>
  </si>
  <si>
    <t>פתרון סעיף א:</t>
  </si>
  <si>
    <t>פתרון סעיף ב:</t>
  </si>
  <si>
    <t>הערה של אושר:</t>
  </si>
  <si>
    <t>אם נחלק ריבית שנתית שהיא תוצאת סעיף א ב-12 נקבל תוצאה שונה:</t>
  </si>
  <si>
    <t xml:space="preserve">5.9224% / 12 = </t>
  </si>
  <si>
    <t>תוצאה זו שגויה הואיל ולא מתייחסת למנגנון ריבית דריבית, יש לנו פרק נפרד בקורס שבו נסביר על זה</t>
  </si>
  <si>
    <t>לעומק יותר. כרגע רק תדעו: ככלל, לא מחלקים ריביות. יש שיטות אחרות.</t>
  </si>
  <si>
    <t>שאלה 3 - תכנון פיננסי - שאלה סיפורית</t>
  </si>
  <si>
    <t xml:space="preserve">הניחו כי היום התאריך הוא ה-1.1.2023. </t>
  </si>
  <si>
    <t xml:space="preserve">אסתי גנטי מעוניינת לרכוש מכונה לחימום נקניק ב-31.12.2024 (בעוד שנתיים מהיום). </t>
  </si>
  <si>
    <t xml:space="preserve">עלות המכונה קבועה, בסך 10,000 ש״ח. </t>
  </si>
  <si>
    <t>הסכום שיש ברשות אסתי היום הוא 2,000 ש״ח. בנוסף, בעוד שנה ורבע (15 חודשים, ב-1.4.2024) היא תקבל מתנה</t>
  </si>
  <si>
    <t>במזומן מחבר טוב, בסך 3,000 ש״ח, ותפקיד גם אותה עד מועד סיום החסכון.</t>
  </si>
  <si>
    <t>בהנחה שאסתי מפקידה כל סכום כסף שברשותה, והריבית החודשית 1%, האם תוכל אסתי לרכוש את המכונה</t>
  </si>
  <si>
    <t>ב-31.12.2024?</t>
  </si>
  <si>
    <t xml:space="preserve">בשאלה זו, אסתי גנטי מפקידה פעמיים. נפתור בשלבים: נחשב ערך עתידי עד מועד ההפקדה הנוספת, </t>
  </si>
  <si>
    <t>ונגרור את הערך העתידי הזה קדימה, עם ההפקדה הנוספת, בחישוב ערך עתידי נוסף.</t>
  </si>
  <si>
    <t>גישה מומלצת שי אוהב:</t>
  </si>
  <si>
    <t>15..24</t>
  </si>
  <si>
    <t>0...15</t>
  </si>
  <si>
    <t>הערה:</t>
  </si>
  <si>
    <t>איך הגענו למספר 5,321.94 ש״ח במינוס?</t>
  </si>
  <si>
    <t>הצבירה לתום חודש 15: 2,321.94</t>
  </si>
  <si>
    <t>בתוספת הפקדה נוספת: 3,000</t>
  </si>
  <si>
    <t>סך הפקדה (בערך מוחלט) 5,321.94</t>
  </si>
  <si>
    <t>ויש להזין אותה בסימן שלילי.</t>
  </si>
  <si>
    <t>תשובה סופית</t>
  </si>
  <si>
    <t>לא יספיק לה :(</t>
  </si>
  <si>
    <t>שאלה 4 - יישומים של תחילת תקופה / תום תקופה בחסכון - עם שילוב סדרות תשלומים</t>
  </si>
  <si>
    <t>שילת ג׳ימני מעוניינת לצבור סכום של 2,500,000 ש״ח לטובת רכישת דירה מעל מסעדת ״עובד בכפר״ באור יהודה.</t>
  </si>
  <si>
    <t>הרכישה תבוצע בעוד 10 שנים. הניחו שעלות הדירה לא תשתנה.</t>
  </si>
  <si>
    <t>נדרש:</t>
  </si>
  <si>
    <t xml:space="preserve">א. מהי ההפקדה החודשית שתדרש לבצע שילת אם ההפקדות בסוף כל חודש (קליל). </t>
  </si>
  <si>
    <t>ב. מהי ההפקדה החודשית שתדרש לבצע שילת אם ההפקדות בתחילת כל חודש.</t>
  </si>
  <si>
    <t>כשמדובר בסדרות, ה - nper הוא מספר ההפקדות (120 הפקדות חודשיות)</t>
  </si>
  <si>
    <t>אין הפקדה / הלוואה חד פעמית בהווה</t>
  </si>
  <si>
    <t>סכום ההפקדה התקופתי הקבוע</t>
  </si>
  <si>
    <t>הערך העתידי הנדרש</t>
  </si>
  <si>
    <t>type</t>
  </si>
  <si>
    <t>פרמטר שרלוונטי רק לסדרות - ״בסוף כל תקופה״ = 0 (ברירת מחדל)</t>
  </si>
  <si>
    <t>או להשמיט</t>
  </si>
  <si>
    <t>כאן נתון מפורשות שההפקדה בתחילת כל חודש, לכן חובה</t>
  </si>
  <si>
    <t xml:space="preserve">להזין type = 1 </t>
  </si>
  <si>
    <t>שי, לא הבנתי מה זה type:</t>
  </si>
  <si>
    <t>רק כשמדובר בסדרות שכתוב מפורשות שהן בתחילת כל תקופה (בתחילת כל חודש, בתחילת כל שנה...)</t>
  </si>
  <si>
    <t xml:space="preserve">חובה להזין type = 1. </t>
  </si>
  <si>
    <t>בכל מקרה אחר (כשזו לא סדרה, או כשזו סדרה שאיננה בתחילת תקופה) אפשר להתעלם מ- type או להזין type=0 לפי בחירתכם.</t>
  </si>
  <si>
    <t>שאלה 5 - שאלה סיפורית מרתקת עם סדרות ובלגן</t>
  </si>
  <si>
    <t>יעל מוצרים מעוניינת להגיע ליעד חסכון של 100,000 ש״ח בעוד 10 שנים מהיום.</t>
  </si>
  <si>
    <t>לשם כך, תפקיד לתכנית חסכון שבה הריבית החודשית היא 0.8%, סכומים כדלקמן:</t>
  </si>
  <si>
    <t>היום:</t>
  </si>
  <si>
    <t>מפקידה חד פעמית 10,000 ש״ח.</t>
  </si>
  <si>
    <t xml:space="preserve">בתום כל חודש במשך שנתיים: תפקיד 1,000 ש״ח. </t>
  </si>
  <si>
    <t>במשך 5 השנים לאחר מכן (60 חודשים) לא תפקיד דבר.</t>
  </si>
  <si>
    <t xml:space="preserve">לאחר מכן, במשך 3 השנים הנותרות, תפקיד 200 ש״ח בסוף כל חודש עד למועד סיום החסכון. </t>
  </si>
  <si>
    <t>מהו הסכום הכולל שיצטבר בחסכון בתום השנה ה-10? בהתאם, האם יעל תגשים את חלומה?</t>
  </si>
  <si>
    <t>חודשים ב</t>
  </si>
  <si>
    <t>שלוש שנים</t>
  </si>
  <si>
    <t>חמש שנים</t>
  </si>
  <si>
    <t>שנתיים ראשונות</t>
  </si>
  <si>
    <t>85..120</t>
  </si>
  <si>
    <t>25..84</t>
  </si>
  <si>
    <t>0..24</t>
  </si>
  <si>
    <t xml:space="preserve">תשובה סופית: 90,931.28 ש״ח. נמוך יותר מ-100,000 ש״ח. </t>
  </si>
  <si>
    <t>לצערנו, יעל מוצרים לא תגשים את חלומה ולא תגיע ליעד.</t>
  </si>
  <si>
    <t>שאלה 6 - שאלה קלילה עם חלופות</t>
  </si>
  <si>
    <t>לידור ״שם משפחה מדהים״ צבאן מעוניינ/ת לרכוש מחשב שעלותו בעוד 5 שנים 100,000 ש״ח.</t>
  </si>
  <si>
    <t xml:space="preserve">הריבית השנתית בחסכון אליו מפקידים - 4%. </t>
  </si>
  <si>
    <t>א. הניחו כי לידור יפקיד היום 40,000 ש״ח. מהו הסכום שיחסר, אם בכלל, כדי לרכוש את המחשב בעוד 5 שנים?</t>
  </si>
  <si>
    <t xml:space="preserve">ב. הניחו כי לידור יפקיד היום 40,000 ש״ח ובחלוף שנתיים מהיום 10,000 ש״ח. מהו הסכום שיחסר, אם בכלל, כדי </t>
  </si>
  <si>
    <t>לרכוש את המחשב בעוד 5 שנים?</t>
  </si>
  <si>
    <t>ג. הניחו כי תפקידו 70,000 ש״ח בעוד שנה. מהו הסכום שיחסר, אם בכלל, כדי לרכוש את המחשב בעוד 5 שנים?</t>
  </si>
  <si>
    <t>א:</t>
  </si>
  <si>
    <t>0..5</t>
  </si>
  <si>
    <t>ב:</t>
  </si>
  <si>
    <t>0..2</t>
  </si>
  <si>
    <t>ג:</t>
  </si>
  <si>
    <t>1..5</t>
  </si>
  <si>
    <t xml:space="preserve">rate </t>
  </si>
  <si>
    <t>סופי</t>
  </si>
  <si>
    <t>האם צברתי 100,000 או יותר?</t>
  </si>
  <si>
    <r>
      <t xml:space="preserve">כן / </t>
    </r>
    <r>
      <rPr>
        <b/>
        <u/>
        <sz val="16"/>
        <rFont val="David"/>
        <family val="2"/>
        <charset val="177"/>
      </rPr>
      <t>לא</t>
    </r>
  </si>
  <si>
    <t>כמה חסר לו?</t>
  </si>
  <si>
    <t xml:space="preserve">אני מפקיד 70,000 בעוד שנה, </t>
  </si>
  <si>
    <t>שואלים מה יהיה לי בעוד 5 שנים.</t>
  </si>
  <si>
    <t xml:space="preserve">לכן צוברים ריבית רק 4 שנים, מתום שנה 1 לתום שנה 5. </t>
  </si>
  <si>
    <t xml:space="preserve">לכן nper = 4 . </t>
  </si>
  <si>
    <t>סיכום ביניים - מה השתדלנו ללמוד היום?</t>
  </si>
  <si>
    <t xml:space="preserve">בשאלות ערך עתידי - לפעמים נחשב FV ולפעמים נחלץ פרמטר אחר (כגון rate, nper). </t>
  </si>
  <si>
    <t>כאשר יש שינויים או כמה הפקדות - מפצלים את החישוב לחלקים, כל עמודה בנפרד, וגוררים אותה קדימה, בטכניקה: pv = -fv</t>
  </si>
  <si>
    <t>כשיש סדרות (הפקדה ״כל חודש״ או ״כל שנה״ וכו׳):</t>
  </si>
  <si>
    <t>חייבים pmt</t>
  </si>
  <si>
    <t xml:space="preserve">ואם זו סדרה תחילת - תקופה (בתחילת כל חודש, בתחילת כל שנה), חייבים גם להזין type = 1 . </t>
  </si>
  <si>
    <t>שאלה 7</t>
  </si>
  <si>
    <t>לפתור בבית</t>
  </si>
  <si>
    <t>שיר קאלו תפקיד 1,000 ש״ח בסוף כל חודש במשך 3 שנים. לאחר מכן תפקיד 1,500 ש״ח בסוף כל חודש במשך 4 שנים.</t>
  </si>
  <si>
    <t>מהו הסכום הכולל שיעמוד לרשותה של שיר קאלו בתום 7 השנים אם ידוע שהריבית החודשית 0.45%?</t>
  </si>
  <si>
    <t>years 4-7</t>
  </si>
  <si>
    <t>years 1-3</t>
  </si>
  <si>
    <t>תשובה סופית: 128,528.13 ש״ח.</t>
  </si>
  <si>
    <t>שאלה 8</t>
  </si>
  <si>
    <t>סתיו עמית תפקיד בתחילת כל שנה במשך 40 שנים סכום קבוע, כך שכאשר תצא לפנסיה, בתום השנה ה-40, יעמוד</t>
  </si>
  <si>
    <t xml:space="preserve">לרשותה סכום של 1,500,000 ש״ח. </t>
  </si>
  <si>
    <t xml:space="preserve">הריבית השנתית היא 5%. </t>
  </si>
  <si>
    <t>מהי ההפקדה השנתית הנדרשת שתאפשר לסתיו לעמוד ביעד?</t>
  </si>
  <si>
    <t>שאלה 9</t>
  </si>
  <si>
    <t>יובל קדוש מעוניינת לחסוך סכום של 500,000 ש״ח על מנת לחסום את שי בכל מדיה אפשרית, שכן כל פעם שהיא נחה</t>
  </si>
  <si>
    <t xml:space="preserve">ומתעדת זאת בסטורי, </t>
  </si>
  <si>
    <t>הוא כותב לה  כמו מרצה בומר מציק איש מוזר ״בבקשה לא לנוח אלא לפתור תרגילים במימון״,</t>
  </si>
  <si>
    <t xml:space="preserve"> וזה לגמרי הורג את הוייב.</t>
  </si>
  <si>
    <t xml:space="preserve">חזרה לשאלה. </t>
  </si>
  <si>
    <t xml:space="preserve">יובל הפקידה לשם כך היום סכום של 50,000 ש״ח בתכנית חסכון הנושאת ריבית חודשית בשיעור 0.25%. </t>
  </si>
  <si>
    <t>בנוסף, תפקיד בתום כל חודש במשך חצי שנה סכום של 70,000 ש״ח.</t>
  </si>
  <si>
    <t>האם בחלוף חצי השנה תוכל יובל לחסום את שי? במידה ולא, מהו הסכום החסר לה לשם כך? הבה נפתח קמפיין</t>
  </si>
  <si>
    <t xml:space="preserve">ב - fundit לפי הצורך. </t>
  </si>
  <si>
    <t>months 0-6</t>
  </si>
  <si>
    <t xml:space="preserve">וואלה גב׳ קדוש, חסר לך עוד כ- </t>
  </si>
  <si>
    <t>כדי לעמוד ביעד. סורי. בינתיים תהיה הצקה על כל סטורי (חרוז).</t>
  </si>
  <si>
    <t>שאלה 10</t>
  </si>
  <si>
    <t xml:space="preserve">בנק הציע לעדן שלוש להשקיע בחסכון שיוביל לצבירת 500,000 ש״ח בעוד 15 שנה, בתנאי שתשלם לבנק סכום של </t>
  </si>
  <si>
    <t xml:space="preserve">סכום של 25,000 ש״ח בתום כל אחת מהשנים הבאות. </t>
  </si>
  <si>
    <t>מהי הריבית השנתית שמשלם הבנק לעדן?</t>
  </si>
  <si>
    <t>הערה: השם הוא עדן שלוש כלומר Eden Shlush זה לא שמדובר ב-3 תקופות השקעה או משו. זה השם שלה נו. די.</t>
  </si>
  <si>
    <t>0-15</t>
  </si>
  <si>
    <t>היי עדן שלוש, הריבית שמציעים לך היא כ-3.9841%.</t>
  </si>
  <si>
    <t>לשנה.</t>
  </si>
  <si>
    <t>אם הגעתם עד כאן זה פצצה! סימן שיש לכם את כל הכלים בעולם להתמודד פיקס עם שיעורי הבית בקבצים נפרדים</t>
  </si>
  <si>
    <t xml:space="preserve">במודל, גם קובץ תרגילי התרגול, וגם קובץ שיעורי הבית שלא להגשה עם הפתרון. </t>
  </si>
  <si>
    <t>אם נתקעתם עם שיעורי הבית, תחפשו כאן במערך השיעור למעלה שאלה מקבילה. בטוח קיימת. אחר כך תחזרו למה</t>
  </si>
  <si>
    <t>שסיבך אתכם.</t>
  </si>
  <si>
    <t xml:space="preserve">לבסוף, מטה יש עוד שאלות לתרגול בזמנכם החופשי. חשוב, אבל פחות היסטרי. </t>
  </si>
  <si>
    <t>שאלות נוספות - ערך עתידי, לתרגול בבית, עם פתרון מלא</t>
  </si>
  <si>
    <t>דוגמא 1</t>
  </si>
  <si>
    <t>ברשותכם סכום של 1,000 ש״ח. החלטתם להפקיד אותו בפיקדון נושא ריבית שנתית בשיעור של 15%.</t>
  </si>
  <si>
    <t>מהו הסכום שיעמוד לרשותכם בפיקדון בעוד 3 שנים?</t>
  </si>
  <si>
    <t>פעלו בשתי דרכים:</t>
  </si>
  <si>
    <t xml:space="preserve">א. חשבו תוך שימוש בנוסחת הערך העתידי של סכום חד פעמי (מתמטית). </t>
  </si>
  <si>
    <t>ב. חשבו תוך שימוש בנוסחת ה - FV באקסל.</t>
  </si>
  <si>
    <t>פתרון דוגמא 1</t>
  </si>
  <si>
    <t>נתונים:</t>
  </si>
  <si>
    <t>סכום חד-פעמי</t>
  </si>
  <si>
    <t>ריבית שנתית</t>
  </si>
  <si>
    <t>מספר השנים</t>
  </si>
  <si>
    <t>סעיף א:</t>
  </si>
  <si>
    <t>נוסחה מתמטית</t>
  </si>
  <si>
    <t>סעיף ב:</t>
  </si>
  <si>
    <t>נוסחת אקסל</t>
  </si>
  <si>
    <t>דוגמא 2</t>
  </si>
  <si>
    <t>יעל לוקחת היום הלוואה בסכום של 200,000 ש״ח לתקופה של 4 שנים. הריבית הרבעונית שהבנק דורש</t>
  </si>
  <si>
    <t>מיעל בכל אחת משנות ההלוואה היא כדלקמן:</t>
  </si>
  <si>
    <t>בשנה ה-1: ריבית רבעונית בשיעור 1%.</t>
  </si>
  <si>
    <t>בשנה ה-2: ריבית רבעונית בשיעור 1%.</t>
  </si>
  <si>
    <t xml:space="preserve">בשנה ה-3: ריבית רבעונית בשיעור 1.5%. </t>
  </si>
  <si>
    <t>בשנה ה-4: ריבית רבעונית בשיעור 2%.</t>
  </si>
  <si>
    <t>מהו הסכום שיעל תצטרך להחזיר לבנק בתום 4 השנים?</t>
  </si>
  <si>
    <t xml:space="preserve">הקפידו לחשב הן בנוסחה מתמטית והן על בסיס פונקציית FV בגיליון האלקטרוני (בשלבים). </t>
  </si>
  <si>
    <t>פתרון דוגמא 2</t>
  </si>
  <si>
    <t>r (ריבית רבעונית)</t>
  </si>
  <si>
    <t>n (מספר רבעונים)</t>
  </si>
  <si>
    <t>שנים 1-2</t>
  </si>
  <si>
    <t>שנה 3</t>
  </si>
  <si>
    <t>שנה 4</t>
  </si>
  <si>
    <t>הנוסחה המתמטית:</t>
  </si>
  <si>
    <t>FV = PV * (1 + r1)^(n1) * (1 + r2)^(n2) * …</t>
  </si>
  <si>
    <t>דרך 1 (חישוב ידני):</t>
  </si>
  <si>
    <t>FV=?</t>
  </si>
  <si>
    <t>דרך 2 (שימוש בפונקציה):</t>
  </si>
  <si>
    <t>ערך עתידי לאחר שנתיים:</t>
  </si>
  <si>
    <t>ערך עתידי לאחר 3 שנים:</t>
  </si>
  <si>
    <t>ערך עתידי לאחר 4 שנים:</t>
  </si>
  <si>
    <t>הסבר נוסף:</t>
  </si>
  <si>
    <t>בכל שלב חישוב, התייחסנו למקטע מסוים שלגביו הריבית זהה. כך, ביצענו חישוב ראשון לקביעת הסכום הכולל</t>
  </si>
  <si>
    <t>להחזר בתום שנה 2, ובשלב שני יצרנו צבירת ריבית על סכום זה עד לתום שנה 3 (עד למועד שינוי הריבית</t>
  </si>
  <si>
    <t>העוקב). שימו לב, שתמיד אני מזין את סכום ההלוואה בסימן חיובי. בשלב החישוב הראשון, פשוט הזנתי</t>
  </si>
  <si>
    <t>סכום של 200,000 ש״ח. בחישובים העוקבים, הואיל והם נשענים על תוצאות החישוב הקודמות שהתקבלו</t>
  </si>
  <si>
    <t>בסימן שלילי, הוספתי סימן ״-״ לפני הזנתם לנוסחאות לאחר מכן, כדי לבטא את העובדה שמדובר בהלוואה.</t>
  </si>
  <si>
    <t>דוגמא 3</t>
  </si>
  <si>
    <t>אפרים הפקיד היום סכום של 20,000 ש״ח בבנק. הסכום הופקד ל-3 שנים. בתום תקופת החסכון קיבל</t>
  </si>
  <si>
    <t>אפרים מהבנק סכום של 24,500 ש״ח. מהו שיעור הריבית השנתית שהבנק העניק לאפרים בכל שנות</t>
  </si>
  <si>
    <t>החסכון?</t>
  </si>
  <si>
    <t>פתרון דוגמא 3</t>
  </si>
  <si>
    <t xml:space="preserve">באמצעות גיליון אלקטרוני Excel אפשר לבצע חילוץ של מגוון פרמטרים מתוך ערך עתידי נתון. </t>
  </si>
  <si>
    <t>פונקציה לחילוץ ריבית</t>
  </si>
  <si>
    <t>פונקציה לחילוץ מס׳ תקופות</t>
  </si>
  <si>
    <t>סכום חד פעמי</t>
  </si>
  <si>
    <t>r=?</t>
  </si>
  <si>
    <t>דוגמא 4</t>
  </si>
  <si>
    <t>ברצונכם לרכוש בעוד מספר שנים רכב שעלותו תהיה 200,000 ש״ח. ברשותכם סכום של 50,000 ש״ח</t>
  </si>
  <si>
    <t xml:space="preserve">היום. ידוע שהריבית החודשית שהבנק מעניק בתכניות חסכון היא 3.35%. </t>
  </si>
  <si>
    <t>בתנאים אלו, אם תפקידו את כספכם היום בתכנית חסכון של הבנק, תוך כמה שנים תוכלו לרכוש את הרכב</t>
  </si>
  <si>
    <t>שרציתם?</t>
  </si>
  <si>
    <t>פתרון דוגמא 4</t>
  </si>
  <si>
    <t>ריבית חודשית</t>
  </si>
  <si>
    <t>בחודשים:</t>
  </si>
  <si>
    <t>n=?</t>
  </si>
  <si>
    <t>בשנים:</t>
  </si>
  <si>
    <t xml:space="preserve">כאשר מחלצים את מספר התקופות הנדרש להגעה ליעד צבירה עתידי (FV) באמצעות פונקציית nper, </t>
  </si>
  <si>
    <t xml:space="preserve">התוצאה המתקבלת תמיד תהיה ביח׳ זמן המתאימות לתקופת הריבית. </t>
  </si>
  <si>
    <t>ולמה כוונתנו? הואיל וכאן הריבית של 3.35% היא חודשית, אזי התוצאה המתקבלת בחילוץ היא מספר</t>
  </si>
  <si>
    <t xml:space="preserve">חודשי הצבירה הנדרשים. </t>
  </si>
  <si>
    <t>כדי להמיר תוצאת תקופה בחודשים לשנים, פשוט נחלק ב-12.</t>
  </si>
  <si>
    <t>דוגמא 6</t>
  </si>
  <si>
    <t>תמר הפקידה היום 2,000 ש״ח בתכנית חסכון ל-15 שנים. הבנק מעניק לתמר ריבית שנתית</t>
  </si>
  <si>
    <t>בשיעור 5%. מהו הסכום שיעמוד לרשותה של תמר בתום תקופת החסכון?</t>
  </si>
  <si>
    <t>פתרון דוגמא 6</t>
  </si>
  <si>
    <t>מספר שנים</t>
  </si>
  <si>
    <t>דוגמא 7</t>
  </si>
  <si>
    <t>בנק ״הלקוח התמים״ מציע לך היום הלוואה בסכום של 45,000 ש״ח ל-5 שנים. בתום 5 השנים</t>
  </si>
  <si>
    <t xml:space="preserve">תתבקש להחזיר לבנק סכום של 66,105 ש״ח. </t>
  </si>
  <si>
    <t>מהי הריבית השנתית שהבנק גובה ממך על ההלוואה?</t>
  </si>
  <si>
    <t>פתרון דוגמא 7</t>
  </si>
  <si>
    <t>דוגמא 8</t>
  </si>
  <si>
    <t>גברת הררי הפקידה בבנק בתחילת 2019 סכום של 10,000 ש״ח. בתחילת 2020 היא הפקידה</t>
  </si>
  <si>
    <t xml:space="preserve">בבנק סכום נוסף של 2,000 ש״ח. גברת הררי מעוניינת לפדות את כספה בסוף 2020. </t>
  </si>
  <si>
    <t>היא מקבלת על הפקדותיה ריבית של 0.5% לחודש, ב-15 החודשים הראשונים, ולאחר מכן</t>
  </si>
  <si>
    <t xml:space="preserve">הריבית יורדת ל-0.4% לחודש. </t>
  </si>
  <si>
    <t>מהו הסכום שגברת הררי תפדה מהבנק בסוף 2020?</t>
  </si>
  <si>
    <t>פתרון דוגמא 8</t>
  </si>
  <si>
    <t>גברת הררי הפקידה סכום מסויים - 10,000</t>
  </si>
  <si>
    <t>לשנה, מיד בתום השנה צירפה סכום נוסף של 2,000 ש״ח.</t>
  </si>
  <si>
    <t>לכן, המהלך הראשון שנרצה לבצע הוא חישוב הערך</t>
  </si>
  <si>
    <t>העתידי של 10,000 ש״ח לתום השנה, ונוסיף לכך</t>
  </si>
  <si>
    <t xml:space="preserve">את ה-2,000 ש״ח. </t>
  </si>
  <si>
    <t>הפקדה 1</t>
  </si>
  <si>
    <t>שלב 1 - חישוב הערך העתידי של הפקדה בודדת בסך 10,000 לאחר שנה:</t>
  </si>
  <si>
    <t>הפקדה 2</t>
  </si>
  <si>
    <t>ריבית 1</t>
  </si>
  <si>
    <t>ריבית 2</t>
  </si>
  <si>
    <t>שלב 2 - חישוב הערך העתידי בתום 15 חודשים:</t>
  </si>
  <si>
    <t>צבירה נוספת 3 חודשים, עד מועד שינוי הריבית (מתום חודש 12 לתום חודש 15)</t>
  </si>
  <si>
    <t xml:space="preserve">הסכום שימשיך את הצבירה כולל את הצבירה הקודמת בתוספת 2,000. </t>
  </si>
  <si>
    <t>שלב 3 - חישוב הערך העתידי בתום השנתיים:</t>
  </si>
  <si>
    <t>התחלנו בתחילת 2019, סיימנו בסוף 2020, שנתיים, 24 חודשים: נותר לטפל בעוד 9 חודשים</t>
  </si>
  <si>
    <t>הסכום שימשיך את הצבירה בריבית השונה, כולל את הצבירה הקודמת.</t>
  </si>
  <si>
    <t>ועוד קצת חומרים לתרגול נוסף (תוספת שלי - נערך ב - 1.4.2023)</t>
  </si>
  <si>
    <t>שאלה א</t>
  </si>
  <si>
    <t>שרון התגייס היום לצה״ל והוא משתחרר בעוד 3 שנים. בתום השירות הצבאי הוא חולם לטוס לטיול בדרום אפריקה.</t>
  </si>
  <si>
    <t xml:space="preserve">לשם כך החליט שרון להפקיד בתכנית חסכון בסוף כל שנת שירות סכום של 1,000 ש״ח לטובת חלומו. </t>
  </si>
  <si>
    <t xml:space="preserve">הריבית השנתית שהוא מקבל על החסכון היא 5%. </t>
  </si>
  <si>
    <t>א. מהו הסכום שיעמוד לרשותו של שרון בתכנית החסכון בתום השירות הצבאי? (תשובה לבקרה: 3,152.5 ש״ח)</t>
  </si>
  <si>
    <t>ב. אם שרון יחליט להפקיד בתכנית החסכון סכום של 1,000 ש״ח בתחילת כל שנת שירות, האם יעמוד לרשותו</t>
  </si>
  <si>
    <t>סכום שונה בתום השירות הצבאי? במידה וכן, מהו הסכום? (תשובה לבקרה: 3,310.13 ש״ח)</t>
  </si>
  <si>
    <t>פתרון סעיף א - חישוב ערך עתידי של סדרה - הצגה מתמטית ואח״כ יישום אקסלי</t>
  </si>
  <si>
    <t xml:space="preserve">רקע: </t>
  </si>
  <si>
    <t xml:space="preserve">כאשר נתקלים בסיטואציה שבה מבוצעות הפקדות בזו אחר זו העונות להגדרת סר״ת (סכום, ריבית, תדירות) קבוע, </t>
  </si>
  <si>
    <t>הדרך המהירה ביותר לחשב ערך עתידי תשען על פונקציית FV שאותה אנו מכירים ממפגש קודם, למעט העובדה</t>
  </si>
  <si>
    <t>שהפעם pmt יהיה ערך מספרי אמיתי, שייצג את ההפקדה התקופתית הקבועה.</t>
  </si>
  <si>
    <r>
      <t xml:space="preserve">טרם נפעל לפתור בזריזות על בסיס נוסחה, </t>
    </r>
    <r>
      <rPr>
        <u/>
        <sz val="11"/>
        <color theme="1"/>
        <rFont val="David"/>
        <family val="2"/>
        <charset val="177"/>
      </rPr>
      <t>תחילה נפעל מתמטית</t>
    </r>
    <r>
      <rPr>
        <sz val="11"/>
        <color theme="1"/>
        <rFont val="David"/>
        <family val="2"/>
        <charset val="177"/>
      </rPr>
      <t>:</t>
    </r>
  </si>
  <si>
    <t>זמן - שנים</t>
  </si>
  <si>
    <r>
      <rPr>
        <sz val="11"/>
        <color rgb="FFFF0000"/>
        <rFont val="David"/>
        <family val="2"/>
        <charset val="177"/>
      </rPr>
      <t>1,000 * (1 + 5%)^2</t>
    </r>
    <r>
      <rPr>
        <sz val="11"/>
        <color theme="1"/>
        <rFont val="David"/>
        <family val="2"/>
        <charset val="177"/>
      </rPr>
      <t xml:space="preserve"> + </t>
    </r>
    <r>
      <rPr>
        <sz val="11"/>
        <color rgb="FF0070C0"/>
        <rFont val="David"/>
        <family val="2"/>
        <charset val="177"/>
      </rPr>
      <t>1,000 * (1 + 5%)^1</t>
    </r>
    <r>
      <rPr>
        <sz val="11"/>
        <color theme="1"/>
        <rFont val="David"/>
        <family val="2"/>
        <charset val="177"/>
      </rPr>
      <t xml:space="preserve"> + 1,000 * (1 + 5%)^0 = </t>
    </r>
  </si>
  <si>
    <t>יישום אקסלי:</t>
  </si>
  <si>
    <t>בסדרות - חובה להזין ריבית לפרק הזמן בין תשלומים (לתקופת תשלום): תשלומים כל שנה = ריבית שנתית</t>
  </si>
  <si>
    <t>בחישובי סדרות - מייצג את מספר התשלומים בסדרה</t>
  </si>
  <si>
    <t>הסכום של כל תזרים (כל הפקדה). אנו נוהגים לייצג הפקדות (תזרים יוצא) בסימן שלילי</t>
  </si>
  <si>
    <t>אין הפקדה / תקבול חד פעמי מיידי</t>
  </si>
  <si>
    <t>רלוונטי רק להפקדות שהן בתחילת תקופה, כאן ההפקדות בתום תקופה ולכן אין צורך להזין / יוזן אפס</t>
  </si>
  <si>
    <t>פתרון סעיף ב - אותו רעיון, אך הפקדות בתחילת כל שנה</t>
  </si>
  <si>
    <t>במצב כזה: חישוב הערך העתידי צריך לבטא את העובדה שביחס למקרה הקודם, כל הפקדה צוברת ריבית</t>
  </si>
  <si>
    <t>תקופה אחת נוספת. משכך, הדרך המהירה ביותר להגיע לערך העתידי המעודכן תכלול מכפלה של הצבירה</t>
  </si>
  <si>
    <t>במצב ״קודם״ ב-1 ועוד הריבית:</t>
  </si>
  <si>
    <t xml:space="preserve">3,152.5 * (1 + 5%) = </t>
  </si>
  <si>
    <t>אין הפקדה / תקבול חד פעמי מיידי - ראו הסבר מורחב מטה</t>
  </si>
  <si>
    <t>לכאורה, יש הפקדה בזמן אפס, ולכן יש הטוענים שיש להזין PV. אלא שבהקשרנו, PV מייצג הפקדה חד פעמית שונה</t>
  </si>
  <si>
    <t>שאיננה חלק מסדרה קבועה. אם למשל היו אומרים שמפקידים 50,000 ש״ח מיד ובנוסף 1,000 בתחילת כל שנה,</t>
  </si>
  <si>
    <t>אז היינו מציבים ב - PV ערך של 50,000-.</t>
  </si>
  <si>
    <t>כאשר ההפקדות הן בתחילת תקופה כך שמתקיים מצב שבו גם ההפקדה האחרונה צוברת ריבית נזין ב - type</t>
  </si>
  <si>
    <t xml:space="preserve">ערך כלשהו שונה מ-0. אני ממש אוהב להזין 1. </t>
  </si>
  <si>
    <t>שאלה ב</t>
  </si>
  <si>
    <t xml:space="preserve">רועי מעוניין לחסוך לרכישת דירה בעתיד. לשם כך פתח תכנית חסכון והחליט להפקיד לתוכה 8,500 ש״ח </t>
  </si>
  <si>
    <t>בסוף כל שנה במשך 20 השנים הבאות. הבנק מעניק לרועי ריבית שנתית בשיעור 6% במשך 8 השנים הראשונות.</t>
  </si>
  <si>
    <t>לאחר מכן, ב-12 השנים העוקבות, הבנק מעניק לרועי ריבית שנתית בשיעור 8%.</t>
  </si>
  <si>
    <t>נדרש: מהו הסכום שיעמוד לרשות רועי בתום תקופת החסכון? (תשובה לבקרה: 373,155.39 ש״ח)</t>
  </si>
  <si>
    <t>בשאלה זו ניתן להבחין בשבירת הסר״ת: נדרש סכום, ריבית ותדירות קבועה. וכאן, לצערנו, הריבית משתנה.</t>
  </si>
  <si>
    <t>במקרים כאלו, נפצל ל-2 סדרות:</t>
  </si>
  <si>
    <t>זמן</t>
  </si>
  <si>
    <t>מאפיינים</t>
  </si>
  <si>
    <t>.</t>
  </si>
  <si>
    <t>הערך המתקבל: סך הצבירה לסיום הסדרה (זמן 8)</t>
  </si>
  <si>
    <t xml:space="preserve">התשובה הסופית - סך הצבירה לתום שנה 20. </t>
  </si>
  <si>
    <t xml:space="preserve">הדרך היעילה ביותר לטפל בחישוב ערך עתידי של מספר סדרות היא להתייחס לסכום שנצבר לתום הסדרה הראשונה </t>
  </si>
  <si>
    <t xml:space="preserve">או: ה- FV של הסדרה הראשונה, בתור ה - PV של הסדרה העוקבת (בסימן הפוך). </t>
  </si>
  <si>
    <t>הסיבה היא שהצבירה לתום הסדרה הראשונה היא למעשה סכום ״חד פעמי״ שעמו מתחילים את הסדרה העוקבת.</t>
  </si>
  <si>
    <t>שאלה ג</t>
  </si>
  <si>
    <t>נניח שהיום 1.4.2020. בעוד 4 חודשים בדיוק מהיום, ב-1.8.2020, יתקיים משחק גמר גביע אירופה לאלופות,</t>
  </si>
  <si>
    <t>ומחירו של כרטיס כניסה למשחק יעמוד על 1,600 ש״ח. הבנק שלך מציע לך תכנית חסכון המעניקה ריבית</t>
  </si>
  <si>
    <t>חודשית בשיעור 0.5%.</t>
  </si>
  <si>
    <t>מהו הסכום שעליך להפקיד החל מהיום, ובכל תחילת חודש (כולל ביום המשחק עצמו) על מנת שתוכל לממן</t>
  </si>
  <si>
    <t xml:space="preserve">זוג כרטיסים לך ולבנך? (תשובה לבקרה: 633.63 ש״ח. רמז: יש לשים לב, הפקדה אחרונה חופפת למשיכה). </t>
  </si>
  <si>
    <t>התשובה: הפקדה חודשית נדרשת:</t>
  </si>
  <si>
    <t>ערך נדרש עתידי כולל לצבירה (2 כרטיסים)</t>
  </si>
  <si>
    <t xml:space="preserve">FV = </t>
  </si>
  <si>
    <t>שני דגשים:</t>
  </si>
  <si>
    <t>ראשית - זכרו כי ה - nper מייצג את מספר ההפקדות ולא את מספר התקופות. כאן, יש 5 הפקדות בסך הכל.</t>
  </si>
  <si>
    <t>רוצים טיפ? בבקשה - בסדרות, מספר התזרימים ניתן לחישוב על בסיס ההפרש בין עיתוי האיבר האחרון (4) לבין עיתוי</t>
  </si>
  <si>
    <t>האיבר הראשון (0) בתוספת 1:</t>
  </si>
  <si>
    <t xml:space="preserve">4 - 0 + 1 = </t>
  </si>
  <si>
    <t>שנית - לכאורה אמרו שההפקדות בתחילת כל חודש, ולכן אוטומטית הלב אומר ״שי, הזין type 1״ אלא שחשוב שנזכור</t>
  </si>
  <si>
    <t>כי type 1 רלוונטי אך ורק למקרים שבהם קיים פער של יחידת זמן בין עיתוי ההפקדה האחרונה לעיתוי סיום הצבירה.</t>
  </si>
  <si>
    <t xml:space="preserve">ספציפית כאן - עיתוי ההפקדה האחרונה זהה לחלוטין לעיתוי המשיכה (מיד לאחר ההפקדה האחרונה מושכים) </t>
  </si>
  <si>
    <t xml:space="preserve">ובמצב כזה, בהיעדר פער זמן בין הפקדה אחרונה למועד משיכה, ה type יהיה 0 (או פשוט לא יוזן). </t>
  </si>
  <si>
    <t>החישוב הסופי (חילוץ ה - pmt) בוצע באמצעות נוסחת PMT:</t>
  </si>
  <si>
    <t>שאלה ד</t>
  </si>
  <si>
    <t xml:space="preserve">בנק מציע ללקוחותיו תכנית חסכון ל-6 שנים. בסוף כל אחת מ-6 השנים הללו יפקיד החוסך 12,322.85 ש״ח. </t>
  </si>
  <si>
    <t xml:space="preserve">לאחר 6 שנים הבנק יעניק לחוסך סכום של 100,000 ש״ח. </t>
  </si>
  <si>
    <t>מהו שיעור הריבית השנתית שהבנק מציע ללקוחותיו בחסכון?</t>
  </si>
  <si>
    <t>שאלה ה</t>
  </si>
  <si>
    <t xml:space="preserve">נניח שהתאריך היום 1.1.2020 והבטחתם לעצמכם שבסוף השנה יהיו ברשותכם 100,000 ש״ח. </t>
  </si>
  <si>
    <t xml:space="preserve">לשם כך הפקדתם היום סכום של 25,000 ש״ח בתכנית חסכון הנושאת ריבית חודשית בשיעור 0.6%. </t>
  </si>
  <si>
    <t xml:space="preserve">בנוסף זכיתם למלגה חודשית בסך 6,000 ש״ח המופקדת בתכנית החסכון בכל סוף חודש למשך שנה. </t>
  </si>
  <si>
    <t>האם הצלחתם לעמוד במטרה? (תשובה לבקרה: 101,284.77 ש״ח, כן)</t>
  </si>
  <si>
    <t>שאלה ו</t>
  </si>
  <si>
    <t>חברה מתלבטת אם להחליף משאית ברשותה. להלן 2 אפשרויות:</t>
  </si>
  <si>
    <t>א. השקעה במשאית חדשה שעלותה 150,000 ש״ח ועלות אחזקתה השוטפת 25,000 ש״ח בתום</t>
  </si>
  <si>
    <t xml:space="preserve">כל שנה במשך 4 שנים. </t>
  </si>
  <si>
    <t>ב. המשך עבודה עם המשאית הקיימת, עלות אחזקה שוטפת 70,000 ש״ח בסוף כל שנה במשך 4 שנים.</t>
  </si>
  <si>
    <t>הניחו כי בעוד 4 שנים החברה תסיים פעילותה העסקית.</t>
  </si>
  <si>
    <t xml:space="preserve">ידוע שהריבית השנתית 5%. </t>
  </si>
  <si>
    <t>נדרש: איזו חלופה תועדף? (תשובה לבקרה: ערך עתידי עלויות א: 290,079.06, ב: 301,708.75, עדיפה א)</t>
  </si>
  <si>
    <t xml:space="preserve">בחירה בין חלופות כספיות - מחייבת ביטוי תוצאתן הכספית במונחי אותה נקודת זמן. </t>
  </si>
  <si>
    <t xml:space="preserve">לכן נחשב ערך עתידי לתום השנה ה-4 לכל חלופה בנפרד - ונעדיף את הזולה מביניהן. </t>
  </si>
  <si>
    <t>ב</t>
  </si>
  <si>
    <t>א</t>
  </si>
  <si>
    <t>התוצאות משקפות עלות / אובדן הנובע מבחירה בחלופה מסוימת, נעדיף עלות כמה שיותר נמוכה, חלופה א!</t>
  </si>
  <si>
    <t>שאלה ז</t>
  </si>
  <si>
    <t xml:space="preserve">הנהלת המכללה מעוניינת להגיע ליעד של 9,000,000 ש״ח בעוד 10 שנים מהיום. </t>
  </si>
  <si>
    <t>לשם כך בכוונתה להפקיד סכום קבוע בתחילת כל שנה במשך 10 השנים הבאות.</t>
  </si>
  <si>
    <t>הריבית: 9% לשנה.</t>
  </si>
  <si>
    <t>מהו גובה ההפקדה השנתית שתדרש? (תשובה לבקרה: 543,468.63)</t>
  </si>
  <si>
    <t>במקרה זה: ההפקדות השנתיות הן בתחילת כל שנה, והמשיכה היא רק בתום השנה.</t>
  </si>
  <si>
    <t>כלומר זהו מקרה קלאסי שבו מתקיים פער זמן של יחידת זמן אחת בין עיתוי ההפקדה</t>
  </si>
  <si>
    <t xml:space="preserve">האחרונה (תחילת שנה 10) לבין עיתוי הצבירה הנדרשת (תום שנה 10). </t>
  </si>
  <si>
    <t xml:space="preserve">מקרה שכזה הוא המקרה שבו נזין ב - type ערך שונה מ-0 (אני אוהב להזין 1). </t>
  </si>
  <si>
    <t>שאלה ח (מאד דומה לתרגיל בית מס׳ 3, שאלה 1)</t>
  </si>
  <si>
    <t>אוריין אשוש זכתה בהגרלה, ומציעים לה לבחור באחת מבין שתי חלופות הזכייה הבאות:</t>
  </si>
  <si>
    <t xml:space="preserve">א. לקבל 5,000 ש״ח בסוף כל שנה 4 שנים, ולאחר מכן (החל מסוף השנה ה-5) תקבולים בגובה 6,000 ש״ח בסוף כל </t>
  </si>
  <si>
    <t>שנה במשך 8 שנים.</t>
  </si>
  <si>
    <t xml:space="preserve">ב. לקבל 50,000 ש״ח כסכום חד פעמי בעוד 6 שנים מהיום. </t>
  </si>
  <si>
    <t xml:space="preserve">ידוע שהריבית השנתית אליה חשופה אוריין אשוש היא 5%. </t>
  </si>
  <si>
    <t>נדרש: איזו חלופה תעדיפו? הדרכה: חשבו ערך עתידי לכל חלופה לתום השנה ה-12. החלופה העדיפה היא זו שערכה</t>
  </si>
  <si>
    <t>העתידי הוא הגבוה ביותר.</t>
  </si>
  <si>
    <t>ערך עתידי חלופה א:</t>
  </si>
  <si>
    <t>years 5..12</t>
  </si>
  <si>
    <t>years 1..4</t>
  </si>
  <si>
    <t>למרות שהתוצאה שנתקבלה היא כביכול ״שלילית״ כמובן שמדובר בערך חיובי. מדובר כאן בסכומים כספיים שאוריין</t>
  </si>
  <si>
    <t>תקבל. אם זה מפריע לכם, בהחלט אפשרי להתייחס לערכים שתקבל כאל הפקדות שתבצע בסימן שלילי, ואז התוצאה</t>
  </si>
  <si>
    <t>הסופית חיובית. כלומר, מבחינתנו העיקר לדעת שלאוריין יהיה בכיס 89,134.74 ש״ח אם תבחר בחלופה א.</t>
  </si>
  <si>
    <t>ערך עתידי חלופה ב:</t>
  </si>
  <si>
    <t>years 6..12</t>
  </si>
  <si>
    <t>כנ״ל. הסכום אמנם יצא שלילי מתמטית, אך הוא משקף תקבול. אם זה מציק, אפשר להזין את ה-50,000 בסימן שלילי,</t>
  </si>
  <si>
    <t>להתייחס אליו כהפקדה, ואז התוצאה הסופית חיובית. בכל מקרה, אוריין תעדיף את חלופה א, שתותיר אותה עם</t>
  </si>
  <si>
    <t>סכום של 89,134 ש״ח בתום התקופה - סכום גבוה יותר.</t>
  </si>
  <si>
    <t>שאלה ט (מאד דומה לתרגיל בית 3, שאלה 2) - שאלה מורכבת יותר</t>
  </si>
  <si>
    <t>אייר גבאי פתחה קרן פנסיה ל-50 שנה, והפקידה בה את הסכומים הבאים:</t>
  </si>
  <si>
    <t>במהלך 20 השנים הראשונות, הפקידה 1,000 ש״ח בסוף כל חודש. הריבית החודשית בשנים אלו 1%.</t>
  </si>
  <si>
    <t>במהלך 7 השנים לאחר מכן, היא לא הפקידה, אלא משכה 2,000 ש״ח בסוף כל חודש. הריבית החודשית</t>
  </si>
  <si>
    <t xml:space="preserve">בשנים אלו היתה 1.5%. </t>
  </si>
  <si>
    <t>לאחר 7 שנים אלו, אייר חזרה להפקיד סכום של 3,000 ש״ח לחודש במשך 23 השנים הנותרות.</t>
  </si>
  <si>
    <t xml:space="preserve">הריבית החודשית בשנים אלו היתה 0.4%. </t>
  </si>
  <si>
    <t>נדרש: מהו הסכום הכולל שנצבר בחשבונה של גב׳ גבאי בתום התקופה, קרי לאחר 50 השנים?</t>
  </si>
  <si>
    <t>הדרכה:</t>
  </si>
  <si>
    <t>התייחסו להפקדות בתור pmt שלילי.</t>
  </si>
  <si>
    <t>התייחסו למשיכות בתור pmt חיובי.</t>
  </si>
  <si>
    <t>נתייחס לעסקה כאל כוללת 3 חלקים:</t>
  </si>
  <si>
    <t>הפקדה בתום כל חודש, 20 שנה.</t>
  </si>
  <si>
    <t>משיכות במשך 7 שנים בסימן תזרימי חיובי.</t>
  </si>
  <si>
    <t>המשך הפקדות במשך 23 שנים נוספות, וחישוב ערך עתידי של הפקדות (בהתעלם מהמשיכות) לתום שנה 50. הנה:</t>
  </si>
  <si>
    <t>years 15..50</t>
  </si>
  <si>
    <t>years 8..14</t>
  </si>
  <si>
    <t>years 1..7</t>
  </si>
  <si>
    <t>מסקנה: אייר בעזרת השם את תהיי טחונה יהיו לך כ-9 מיליון ש״ח בפרישה.</t>
  </si>
  <si>
    <t>כללי:</t>
  </si>
  <si>
    <t>בעוד שחישובי ערך עתידי הם אינטואיטיביים למדי (הגיוניים ופשוטים ברובד הבסיסי, הרי ברור לנו שאם נשקיע, בעתיד</t>
  </si>
  <si>
    <t>נצפה לקבל יותר, ואם לווים כסף, בעתיד נחזיר יותר מאשר הקרן). כולנו נתקלים בעסקאות חישוב ערך עתידי על בסיס</t>
  </si>
  <si>
    <t xml:space="preserve">יומיומי, בין אם הן פשוטות יותר או מורכבות יותר בצד הטכני. </t>
  </si>
  <si>
    <t>אלא שברמה העסקית, רבות מההחלטות הפיננסיות מתבססות דווקא על חישוב ערך נוכחי. חישוב שווי נדל״ן מניב למשל,</t>
  </si>
  <si>
    <t xml:space="preserve">הוא הערך להיום (ערך נוכחי) של התקבולים העתידיים הצפויים. בשלב מתקדם בלימודיכם תתנסו בהערכת שווי, </t>
  </si>
  <si>
    <t xml:space="preserve">שלפחות לפי חלק מהשיטות, מתבצעת על בסיס חישוב השווי (להווה) של תזרימי המזומנים החופשיים של הישות. </t>
  </si>
  <si>
    <t>לכן, למרות ש״מורכב יותר״ לחשוב על שאלות מסוג: ״כמה שווה לנו היום סכום של 100,000 שנקבל בעוד 5 שנים״</t>
  </si>
  <si>
    <t xml:space="preserve">הרי שאין מנוס מהדיון בו. </t>
  </si>
  <si>
    <t>ברמה המתמטית - אין חדש תחת השמש; מדובר למעשה במניפולציה אריתמטית מאד פשוטה על חישובי ערך עתידי.</t>
  </si>
  <si>
    <t>ערך עתידי דורש כפל ב-1 ועוד הריבית, וערך נוכחי - ידרוש חלוקה. במלים אחרות:</t>
  </si>
  <si>
    <t>FV = PV * (1+r1)^n1 * (1+r2)^n2 …</t>
  </si>
  <si>
    <r>
      <t>PV = FV/</t>
    </r>
    <r>
      <rPr>
        <sz val="11"/>
        <color rgb="FFFF0000"/>
        <rFont val="David"/>
        <family val="2"/>
        <charset val="177"/>
      </rPr>
      <t>[(1+r1)^n1 * (1+r2)^n2…]</t>
    </r>
  </si>
  <si>
    <t>כמובן, רוב היישומים שנבצע, במיוחד בהמשך דרכנו, לא יישענו על חישוב מתמטי ועל ערכים נוכחיים של סכום יחיד</t>
  </si>
  <si>
    <t>אלא על סדרות. אך כרגע, נתחיל מהבסיס. בחלק מהשאלות נראה גם את הדרך המתמטית וגם את הדרך האקסלית</t>
  </si>
  <si>
    <t>לפתרון.</t>
  </si>
  <si>
    <t>שאלה 1</t>
  </si>
  <si>
    <r>
      <t xml:space="preserve">תוכי המתוק מעוניין לרכוש בעוד שנתיים בדיוק מהיום מחשב מדהים - Macbook Air משומש ישן שעלותו בעוד </t>
    </r>
    <r>
      <rPr>
        <sz val="11"/>
        <color rgb="FFFF0000"/>
        <rFont val="David"/>
        <family val="2"/>
        <charset val="177"/>
      </rPr>
      <t>שנתיים</t>
    </r>
    <r>
      <rPr>
        <sz val="11"/>
        <color theme="1"/>
        <rFont val="David"/>
        <family val="2"/>
        <charset val="177"/>
      </rPr>
      <t xml:space="preserve"> </t>
    </r>
  </si>
  <si>
    <r>
      <t xml:space="preserve">צפויה להיות </t>
    </r>
    <r>
      <rPr>
        <sz val="11"/>
        <color rgb="FFFF0000"/>
        <rFont val="David"/>
        <family val="2"/>
        <charset val="177"/>
      </rPr>
      <t>1,000 ש״ח</t>
    </r>
    <r>
      <rPr>
        <sz val="11"/>
        <color theme="1"/>
        <rFont val="David"/>
        <family val="2"/>
        <charset val="177"/>
      </rPr>
      <t xml:space="preserve">. הריבית </t>
    </r>
    <r>
      <rPr>
        <u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שהבנק מעניק בתכנית חסכון היא </t>
    </r>
    <r>
      <rPr>
        <sz val="11"/>
        <color rgb="FFFF0000"/>
        <rFont val="David"/>
        <family val="2"/>
        <charset val="177"/>
      </rPr>
      <t>5%</t>
    </r>
    <r>
      <rPr>
        <sz val="11"/>
        <color theme="1"/>
        <rFont val="David"/>
        <family val="2"/>
        <charset val="177"/>
      </rPr>
      <t xml:space="preserve">. </t>
    </r>
  </si>
  <si>
    <t>התוכי המתוק תוהה לעצמו: מממ... מעניין כמה עליי להפקיד היום, כדי להגשים את חלומי?</t>
  </si>
  <si>
    <t xml:space="preserve">א. חשבו תוך שימוש בנוסחה המתמטית לחישוב ערך נוכחי. </t>
  </si>
  <si>
    <t xml:space="preserve">ב. חשבו תוך שימוש בפונקציית PV ב - Excel. </t>
  </si>
  <si>
    <t>תשובה סופית, לבקרה בלבד (מעוגל): 907 ש״ח</t>
  </si>
  <si>
    <t>פתרון בגישה א - חישוב ערך נוכחי של סכום יחיד - מתמטית:</t>
  </si>
  <si>
    <r>
      <t xml:space="preserve">PV = </t>
    </r>
    <r>
      <rPr>
        <sz val="11"/>
        <color rgb="FFFF0000"/>
        <rFont val="David"/>
        <family val="2"/>
        <charset val="177"/>
      </rPr>
      <t>FV</t>
    </r>
    <r>
      <rPr>
        <sz val="11"/>
        <color theme="1"/>
        <rFont val="David"/>
        <family val="2"/>
        <charset val="177"/>
      </rPr>
      <t xml:space="preserve">/(1+r)^n = </t>
    </r>
  </si>
  <si>
    <t>פתרון בגישה ב - פרמטרי אקסל ופונקציית PV:</t>
  </si>
  <si>
    <t xml:space="preserve">pv = </t>
  </si>
  <si>
    <t>שאלה 2</t>
  </si>
  <si>
    <t>המימון לחשבונאים״ והתעניין ברכישת מחשב חדש. שי הציע לסטודנט החביב לרכוש את המחשב ב-4,000 ש״ח, וכהטבה,</t>
  </si>
  <si>
    <t>לאור היותו סטודנט - יוכל לשלם בעוד 4 חודשים את הסכום. לחילופין, מציע שי לסטודנט הנחת מזומן, במידה וישלם</t>
  </si>
  <si>
    <t>בעד המחשב מיד. הריבית החודשית 2%.</t>
  </si>
  <si>
    <t>א. מהו גובה התשלום במזומן שבהינתנו, הסטודנט יהיה אדיש בין האפשרות לשלם בעוד 4 חודשים (באשראי) לבין האפשרות</t>
  </si>
  <si>
    <t>לשלם במזומן?</t>
  </si>
  <si>
    <t>ב. איזו אפשרות יעדיף הסטודנט אם שי מציע לו הנחה בשיעור 5% עבור התשלום במזומן היום?</t>
  </si>
  <si>
    <t>תשובה סופית לבקרה בלבד:</t>
  </si>
  <si>
    <t xml:space="preserve">א. </t>
  </si>
  <si>
    <t xml:space="preserve">ב. </t>
  </si>
  <si>
    <t>עדיף לשלם בעוד 4 חודשים</t>
  </si>
  <si>
    <t>פתרון סעיף א</t>
  </si>
  <si>
    <t xml:space="preserve">מבחינה אסטרטגית - פרשנית: כשאני מזהה שאלה ששואלת ״מתי תהיה אדיש״ - שואלים: מתי הערך הנוכחי PV של </t>
  </si>
  <si>
    <t>החלופות זהה.</t>
  </si>
  <si>
    <t xml:space="preserve">4,000 * (1 - 5%) = </t>
  </si>
  <si>
    <t>שאלה 3</t>
  </si>
  <si>
    <t xml:space="preserve">נאוה החליטה לרכוש דירה להשקעה. הדירה תניב לה את התקבולים הבאים: </t>
  </si>
  <si>
    <t>בעוד שנה מהיום: 2,000 ש״ח.</t>
  </si>
  <si>
    <t>בעוד שנתיים מהיום: 4,000 ש״ח.</t>
  </si>
  <si>
    <t>בעוד 3 שנים מהיום: 5,000 ש״ח.</t>
  </si>
  <si>
    <t>בעוד 4 שנים מהיום: 7,000 ש״ח.</t>
  </si>
  <si>
    <t>הריבית השנתית היא 7% בשנה הראשונה, והיא גדלה ב-2% בשנה, בכל אחת מהשנים לאחר מכן. מהו הערך הנוכחי</t>
  </si>
  <si>
    <t>של תזרים התקבולים מהפרויקט? הדרכה: מומלץ לייצר טבלה שתכלול עמודה לשנים, לסכום, לריבית ולערך המהוון,</t>
  </si>
  <si>
    <t xml:space="preserve">ולהפעיל על ערך העמודה האחרונה את פונציית SUM </t>
  </si>
  <si>
    <t>לכאורה, יטענו המלעיזים כנגד המרצה: ״שי, אמרת שהיום זה רק ערך נוכחי של סכום יחיד״</t>
  </si>
  <si>
    <t>ואכן, בשאלה זו, יש מספר סכומים עתידיים.</t>
  </si>
  <si>
    <t>אלא שבהינתן שהסכומים שונים והריבית שונה, לא מדובר ב״סדרה״ ולכן נחשב ערך נוכחי לכל רכיב עתידי בנפרד, ובסוף נסכום.</t>
  </si>
  <si>
    <t>זמן-שנים</t>
  </si>
  <si>
    <t>תקבול</t>
  </si>
  <si>
    <t>ריבית לשנה</t>
  </si>
  <si>
    <t>PV לרכיב</t>
  </si>
  <si>
    <t>PV = FV/[(1+r1)^n1 * (1 + r2)^n2…]</t>
  </si>
  <si>
    <t>סך הכל:</t>
  </si>
  <si>
    <t>PV(TOTAL) =</t>
  </si>
  <si>
    <t>דרך נוספת - על בסיס PV באקסל:</t>
  </si>
  <si>
    <t>תשלום 1</t>
  </si>
  <si>
    <t>תשלום 2</t>
  </si>
  <si>
    <t>תשלום 3</t>
  </si>
  <si>
    <t>תשלום 4</t>
  </si>
  <si>
    <t>לזמן 0</t>
  </si>
  <si>
    <t>לזמן 3</t>
  </si>
  <si>
    <t>התוצאה</t>
  </si>
  <si>
    <t>שאלה 4</t>
  </si>
  <si>
    <t>ד״ר גליונה הפקידה היום בבנק סכום מסויים בתכנית חסכון. הריבית בתכנית החסכון קבועה. בחלוף שנתיים ממועד תחילת</t>
  </si>
  <si>
    <t xml:space="preserve">החסכון הצטברו לרשותה 36,000 ש״ח. כעבור שנתיים נוספות הצטברו בתכנית 40,068 ש״ח. </t>
  </si>
  <si>
    <t>נדרש: מהו הסכום שהפקידה ד״ר גליונה היום בתכנית החסכון?</t>
  </si>
  <si>
    <t>זמן 0 - היום</t>
  </si>
  <si>
    <t>?</t>
  </si>
  <si>
    <r>
      <t xml:space="preserve">זמן 2 - </t>
    </r>
    <r>
      <rPr>
        <b/>
        <sz val="11"/>
        <color theme="1"/>
        <rFont val="David"/>
        <family val="2"/>
        <charset val="177"/>
      </rPr>
      <t>צבירה</t>
    </r>
  </si>
  <si>
    <r>
      <t xml:space="preserve">זמן 4 - </t>
    </r>
    <r>
      <rPr>
        <b/>
        <sz val="11"/>
        <color theme="1"/>
        <rFont val="David"/>
        <family val="2"/>
        <charset val="177"/>
      </rPr>
      <t>צבירה</t>
    </r>
  </si>
  <si>
    <t xml:space="preserve">נפעל בשלבים: תחילה נחלץ את שיעור הריבית: זה שעל בסיסו סכום של 36,000 ש״ח בעוד שנתיים, הופך </t>
  </si>
  <si>
    <t>ל-40,068 בחלוף שנתיים נוספות. ואיך? Rate</t>
  </si>
  <si>
    <t>צבירת ריבית שנתיים נוספות, ללא הפקדות נוספות</t>
  </si>
  <si>
    <t>PV = ?</t>
  </si>
  <si>
    <t>יתרת החסכון</t>
  </si>
  <si>
    <t>הריבית לשנה</t>
  </si>
  <si>
    <t>מספר השנים שבהן נצברה ריבית נוספת</t>
  </si>
  <si>
    <t>בשלב השני - פשוט נחשב ערך נוכחי על בסיס הריבית שכבר ידועה, לצבירה לתום שנה 2 (36,000) חזרה לזמן 0:</t>
  </si>
  <si>
    <t>מספר השנים מזמן 2 לזמן 0</t>
  </si>
  <si>
    <t>יתרה לזמן 2</t>
  </si>
  <si>
    <t xml:space="preserve">בשלב זה, תורגם הערך הכספי מזמן 2 לזמן 0. לשם כך, ההסתכלות היא על זמן 2 כ״עתיד״ (FV) ועל זמן 0 כ״הווה״ (PV). </t>
  </si>
  <si>
    <r>
      <t xml:space="preserve">שאלה 5 - סטודנטיות וסטודנטים, </t>
    </r>
    <r>
      <rPr>
        <b/>
        <sz val="11"/>
        <color rgb="FFFF0000"/>
        <rFont val="David"/>
        <family val="2"/>
        <charset val="177"/>
      </rPr>
      <t>לבית</t>
    </r>
  </si>
  <si>
    <t>חברה צריכה לפרוע חוב בסך 20,000 ש״ח בעוד 5 שנים מהיום. מנהל הכספים של החברה שוקל להפקיד היום סכום כספי</t>
  </si>
  <si>
    <t xml:space="preserve">בחסכון, אשר נושא ריבית שנתית בשיעור 7%, על מנת שבעוד 5 שנים החברה תוכל לסלק את החוב. מהו סכום הכסף שיש </t>
  </si>
  <si>
    <t>להפקיד היום בחסכון?</t>
  </si>
  <si>
    <t>מסקנה: צריך להפקיד היום בחסכון סכום של 14,260 ש״ח כדי לעמוד בדרישה.</t>
  </si>
  <si>
    <t>שי רוכש היום מקבוקים בעלות של 5,000 ש״ח. יבואן המקבוקים מציע לו שתי אפשרויות תשלום:</t>
  </si>
  <si>
    <t>אפשרות 1:</t>
  </si>
  <si>
    <t>לשלם עבור המקבוקים בשני תשלומים, כאשר התשלום הראשון בסך 2,000 ש״ח יבוצע בעוד 4 חודשים מהיום,</t>
  </si>
  <si>
    <t xml:space="preserve">והתשלום השני בסך 3,000 ש״ח, יבוצע בעוד 8 חודשים מהיום. </t>
  </si>
  <si>
    <t>אפשרות 2:</t>
  </si>
  <si>
    <t xml:space="preserve">לשלם היום סכום של 4,400 ש״ח עבור המקבוקים, ערך המגלם הנחת מזומן בסך 600 ש״ח. </t>
  </si>
  <si>
    <r>
      <t xml:space="preserve">הניחו כי </t>
    </r>
    <r>
      <rPr>
        <u/>
        <sz val="11"/>
        <color theme="1"/>
        <rFont val="David"/>
        <family val="2"/>
        <charset val="177"/>
      </rPr>
      <t>הריבית החודשית עומדת על 1%,</t>
    </r>
    <r>
      <rPr>
        <sz val="11"/>
        <color theme="1"/>
        <rFont val="David"/>
        <family val="2"/>
        <charset val="177"/>
      </rPr>
      <t xml:space="preserve"> והסבירו - איזו חלופה יעדיף שי?</t>
    </r>
  </si>
  <si>
    <t>חלופת מזומן</t>
  </si>
  <si>
    <t>רגע שי... איך מתחילים לפתור? מה התהליך? רמז: ״אני רוצה לשלם כמה שפחות... אם אני משלם מזומן, אז... ואם אני משלם</t>
  </si>
  <si>
    <t>בשני תשלומים, אז המשמעות לעניין התשלום במונחים של היום, היא...״</t>
  </si>
  <si>
    <t>חלופה 1:</t>
  </si>
  <si>
    <t>חלופה 2:</t>
  </si>
  <si>
    <t>תשלום</t>
  </si>
  <si>
    <t xml:space="preserve">2,000/(1+1%)^4 = </t>
  </si>
  <si>
    <t xml:space="preserve">3,000/(1+1%)^8 = </t>
  </si>
  <si>
    <t>שווי תשלום במונחי ערך נוכחי:</t>
  </si>
  <si>
    <r>
      <t xml:space="preserve">החלופה המועדפת והזולה יותר הוא... היא... </t>
    </r>
    <r>
      <rPr>
        <b/>
        <sz val="11"/>
        <color rgb="FFFF0000"/>
        <rFont val="David"/>
        <family val="2"/>
        <charset val="177"/>
      </rPr>
      <t>חלופה 2. תשלום במזומן.</t>
    </r>
  </si>
  <si>
    <t>עמרי מעדיף לפתור כך (לגיטימי):</t>
  </si>
  <si>
    <t>שלב 2</t>
  </si>
  <si>
    <t>שלב 1</t>
  </si>
  <si>
    <t>מזמן 4 לזמן 0</t>
  </si>
  <si>
    <r>
      <t xml:space="preserve">ביטוי הסכום שבזמן 8, </t>
    </r>
    <r>
      <rPr>
        <u/>
        <sz val="11"/>
        <color theme="1"/>
        <rFont val="David"/>
        <family val="2"/>
        <charset val="177"/>
      </rPr>
      <t>למונחי זמן 4</t>
    </r>
  </si>
  <si>
    <t>שלב 2:</t>
  </si>
  <si>
    <t>התבססנו על ערכי הסכום של זמן 8, מתורגמים למונחי זמן 4, שהנו 2,883.</t>
  </si>
  <si>
    <t xml:space="preserve">הוספנו לכך את הסכום בזמן 4, שמתקיים בלי קשר, בסך 2,000, סך הכל 4,883 במונחי זמן 4. </t>
  </si>
  <si>
    <t xml:space="preserve">ותיאמתי את כל התוצאה הזו מזמן 4 לזמן 0. </t>
  </si>
  <si>
    <t>שאלה 7 - סטודנטיות וסטודנטים, קדימה צעד עצמאית</t>
  </si>
  <si>
    <t>לבית</t>
  </si>
  <si>
    <t>זיו סגל צפוי לקבל 10,000 ש״ח בעוד 4 שנים מהיום. ידוע כי הריבית השנתית ב-4 השנים הבאות תהיה כדלקמן:</t>
  </si>
  <si>
    <t>בשנה הראשונה: 5%</t>
  </si>
  <si>
    <t>בשנה השניה: 5%</t>
  </si>
  <si>
    <t>בשנה השלישית: 8%</t>
  </si>
  <si>
    <t>בשנה הרביעית: 10%</t>
  </si>
  <si>
    <t>נדרש: מהו הערך הנוכחי של התקבולים שיקבל זיו? חשבו זאת הן באופן מתמטי / ידני והן על בסיס נוסחאות PV רציפות.</t>
  </si>
  <si>
    <t>אקסלי:</t>
  </si>
  <si>
    <t xml:space="preserve">מ-2 ל-0 </t>
  </si>
  <si>
    <t>מ-3 ל-2</t>
  </si>
  <si>
    <t>מ-4 ל-3</t>
  </si>
  <si>
    <t>רבות מהעסקאות, הפרויקטים, ומושאי הערכת שווי, הם נכסים שאינם מניבים סכום מזומנים</t>
  </si>
  <si>
    <t>אחד ויחיד אלא סדרה. המטרה היא לבטא את שוויים של ערכים מרובי תזרימים אלו, במונחי ההווה - קרי</t>
  </si>
  <si>
    <t xml:space="preserve">במונחי ערך נוכחי PV. בכך נעסוק במפגש זה, על בסיס תרגול אינטנסיבי.  </t>
  </si>
  <si>
    <t>רמה: קליל</t>
  </si>
  <si>
    <t>זכיתם/ן בהגרלה! ווהו! הפרס יתקבל בשלושה תשלומים שווים בסך 100 ש״ח כל אחד, שיתקבלו בסוף כל אחת</t>
  </si>
  <si>
    <t xml:space="preserve">מ-3 השנים הבאות. הריבית השנתית היא 5%. </t>
  </si>
  <si>
    <t>א. מהו הסכום המינימלי שאותו תסכימו לקבל היום, במקום סדרת התשלומים? (תשובה: 272.32 ש״ח)</t>
  </si>
  <si>
    <t>ב. מהו הסכום המינימלי שאותו תסכימו לקבל היום, במקום סדרת התשלומים, בהנחה שהתשלומים יתקבלו</t>
  </si>
  <si>
    <t xml:space="preserve">    בתחילת כל אחת מ-3 השנים הבאות? (תשובה: 285.94 ש״ח).</t>
  </si>
  <si>
    <r>
      <rPr>
        <b/>
        <sz val="12"/>
        <color rgb="FFFF0000"/>
        <rFont val="David"/>
        <family val="2"/>
        <charset val="177"/>
      </rPr>
      <t>א.</t>
    </r>
    <r>
      <rPr>
        <sz val="12"/>
        <color theme="1"/>
        <rFont val="David"/>
        <family val="2"/>
        <charset val="177"/>
      </rPr>
      <t xml:space="preserve"> תמיד כששואלים כמה במינימום תסכימו לקבל היום במקום סדרת תשלומים, בעצם שואלים: מה הערך הנוכחי</t>
    </r>
  </si>
  <si>
    <t xml:space="preserve">    של סדרת התשלומים.</t>
  </si>
  <si>
    <t>ריבית לפרק הזמן בין תשלומים (שנתית)</t>
  </si>
  <si>
    <t>מספר תזרימי המזומנים</t>
  </si>
  <si>
    <t>תשלום / תקבול תקופתי בסדרה</t>
  </si>
  <si>
    <t>סכום בודד בתום התקופה - כאן, אין</t>
  </si>
  <si>
    <t>תמיד 0, למעט סדרות תחילת תקופה</t>
  </si>
  <si>
    <t>ההבדל היחיד שיוזן: תשלומי תחילת תקופה</t>
  </si>
  <si>
    <t>רמה: קל</t>
  </si>
  <si>
    <t xml:space="preserve">החזר של 3,500 לחודש, שיבוצע בסוף כל חודש. </t>
  </si>
  <si>
    <t>נדרש: מהו הסכום של המשכנתא אשר יאושר ללווה בתנאים אלו? (תשובה: 488,532.7 ש״ח).</t>
  </si>
  <si>
    <t>סכום הלוואה (משכנתא במקרה זה) תמיד ולעולם זהה לערך הנוכחי של החזריה.</t>
  </si>
  <si>
    <t>כלומר הפתרון הוא בסך הכל ערך נוכחי (PV) של ההחזרים.</t>
  </si>
  <si>
    <t>מספר התשלומים החודשיים ב-20 שנה</t>
  </si>
  <si>
    <t>סכום המשכנתא שתאושר:</t>
  </si>
  <si>
    <t>רמה: בינונית</t>
  </si>
  <si>
    <t>סטודנט לרפואה צפוי לסיים לימודיו בעוד 7 שנים, והחל מהשנה ה-8 תהיה משכורתו 200,000 ש״ח לשנה,</t>
  </si>
  <si>
    <t xml:space="preserve">שתשולם לו בסוף כל שנה. הסטודנט צופה כי יעבוד כרופא במשך 30 שנים, ולאחר מכן יפרוש לפנסיה. </t>
  </si>
  <si>
    <t>שי הציע לסטודנט לבצע הסבה לתרגול בקורס ״יסודות המימון לחשבונאים״, כך שיתרגל אותו במהלך 37</t>
  </si>
  <si>
    <t>השנים הבאות. לשם כך ישלם לו שי היום סכום חד פעמי של 2,500,000 ש״ח, אך תשלום זה יהווה כיסוי מלא</t>
  </si>
  <si>
    <t xml:space="preserve">של מלוא ההטבות הכלכליות המגיעות לסטודנט בעד עבודתו לאורך כל התקופה הנ״ל. </t>
  </si>
  <si>
    <t xml:space="preserve">הניחו כי הריבית השנתית היא בשיעור 5%. </t>
  </si>
  <si>
    <t>האם הסטודנט ישתכנע לבצע את ההסבה? (תשובה סופית: כן, ה-PV של השכר ברפואה נמוך יותר כ-2,184,983)</t>
  </si>
  <si>
    <t>מבנה הפתרון:</t>
  </si>
  <si>
    <t>בחלופה שמציע שי: מדובר בסכום מזומן מיידי היום 2,500,000, ולכן זה ה - PV של החלופה.</t>
  </si>
  <si>
    <t>אלא שהסטודנט יכול לבחור במקום זה לעבוד כרופא, ולקבל במשך 30 שנה, החל מתום שנה 8, סך 200,000 לשנה.</t>
  </si>
  <si>
    <t>ריבית שנתית: 5%</t>
  </si>
  <si>
    <t>תקבולים מרפואה:</t>
  </si>
  <si>
    <t>תזרים</t>
  </si>
  <si>
    <t>מידע נוסף</t>
  </si>
  <si>
    <t>כדי לבחון האם קבלת 2,500,000 ש״ח מיד</t>
  </si>
  <si>
    <t>7 
שנות
לימודים
יובש</t>
  </si>
  <si>
    <t>משתלמת יותר מהסדר התקבולים במסלול</t>
  </si>
  <si>
    <t>הרפואה - פשוט נחשב את ה PV של מסלול</t>
  </si>
  <si>
    <t xml:space="preserve">הרפואה. </t>
  </si>
  <si>
    <t>30
תשלומים
שנתיים</t>
  </si>
  <si>
    <t>התקבולים מהרפואה הם בפורמט ״סדרה דחויה״:</t>
  </si>
  <si>
    <t>כזו שעיתוי התקבול הקרוב ביותר שלה נדחה לעתיד,</t>
  </si>
  <si>
    <t>ולא לסוף התקופה הקרובה.</t>
  </si>
  <si>
    <t>חישוב ערך נוכחי של סדרה דחויה מבוצע בשלבים</t>
  </si>
  <si>
    <t>מהסוף להתחלה.</t>
  </si>
  <si>
    <t xml:space="preserve">PV </t>
  </si>
  <si>
    <t>טיפ:</t>
  </si>
  <si>
    <t>התאמה 7 אחורה</t>
  </si>
  <si>
    <t>מוביל לזמן 7</t>
  </si>
  <si>
    <t>כאשר מחשבים ערך נוכחי סדרתי ״רגיל״</t>
  </si>
  <si>
    <t>כלומר ללא התאמה של תחילת תקופה</t>
  </si>
  <si>
    <t xml:space="preserve">או עם type=0, התוצאה המתקבלת </t>
  </si>
  <si>
    <t>תמיד נכונה לנקודת הזמן שהיא ״אחת לפני״</t>
  </si>
  <si>
    <t>עיתוי התזרים הראשון.</t>
  </si>
  <si>
    <t>אם היינו מזינים type=1 התוצאה היתה</t>
  </si>
  <si>
    <t>מתואמת בדיוק לעיתוי התזרים הראשון.</t>
  </si>
  <si>
    <t>בשלב השני: התייחסנו לתוצאת חישוב ה - PV של השלב הראשון כ - FV, בסימן הפוך.</t>
  </si>
  <si>
    <t xml:space="preserve">ביצענו את התאמתו לאחור לתקופה של 7 שנים (מ-7 ל-0). </t>
  </si>
  <si>
    <t>התשובה הסופית: שווי ההסדר במסלול לימודי הרפואה במונחי היום: 2,184,983 ש״ח. לכן, עדיף לעבוד עם שי</t>
  </si>
  <si>
    <t xml:space="preserve">בתמורה ל-2,500,000. </t>
  </si>
  <si>
    <t>שאלה נוספת דומה מאד</t>
  </si>
  <si>
    <t>צבאן זכה בהגרלה שמאפשרת לו לקבל 50,000 ש״ח בתום כל חודש, במשך 12 שנים, כאשר התשלום הראשון</t>
  </si>
  <si>
    <t>יבוצע בעוד שנתיים בדיוק.</t>
  </si>
  <si>
    <t xml:space="preserve">הריבית החודשית היא 0.7%. </t>
  </si>
  <si>
    <r>
      <t xml:space="preserve">נדרש: מהו שווי הכרטיס הזוכה </t>
    </r>
    <r>
      <rPr>
        <b/>
        <sz val="12"/>
        <color theme="1"/>
        <rFont val="David"/>
        <family val="2"/>
        <charset val="177"/>
      </rPr>
      <t>היום</t>
    </r>
    <r>
      <rPr>
        <sz val="12"/>
        <color theme="1"/>
        <rFont val="David"/>
        <family val="2"/>
        <charset val="177"/>
      </rPr>
      <t xml:space="preserve">. </t>
    </r>
  </si>
  <si>
    <t>זמן בחודשים</t>
  </si>
  <si>
    <t>תזרים pmt</t>
  </si>
  <si>
    <t>מדובר בשאלה העוסקת בערך נוכחי ״מורכב״ של סדרה:</t>
  </si>
  <si>
    <t xml:space="preserve">מורכב במובן זה שקודם קיימת תקופת המתנה (״0״), ואז סדרה. </t>
  </si>
  <si>
    <t xml:space="preserve">במצב כזה, עובדים תמיד ״מהסוף להתחלה״ (קודם צהוב ואז ירוק). </t>
  </si>
  <si>
    <r>
      <t xml:space="preserve">טיפ: אם בסדרה התשלומים </t>
    </r>
    <r>
      <rPr>
        <u/>
        <sz val="12"/>
        <color theme="1"/>
        <rFont val="David"/>
        <family val="2"/>
        <charset val="177"/>
      </rPr>
      <t>חודשיים</t>
    </r>
    <r>
      <rPr>
        <sz val="12"/>
        <color theme="1"/>
        <rFont val="David"/>
        <family val="2"/>
        <charset val="177"/>
      </rPr>
      <t xml:space="preserve">, שווה מאד לבנות את הציר </t>
    </r>
    <r>
      <rPr>
        <u/>
        <sz val="12"/>
        <color theme="1"/>
        <rFont val="David"/>
        <family val="2"/>
        <charset val="177"/>
      </rPr>
      <t>בחודשים</t>
    </r>
  </si>
  <si>
    <t>המתנה</t>
  </si>
  <si>
    <t>תשלומים</t>
  </si>
  <si>
    <t>התשובה</t>
  </si>
  <si>
    <t>הסופית:</t>
  </si>
  <si>
    <t>שאלה 3.1</t>
  </si>
  <si>
    <t>זמן שבועות</t>
  </si>
  <si>
    <t>חד פעמי</t>
  </si>
  <si>
    <t>שבועי</t>
  </si>
  <si>
    <t>לכבוד יום הולדתה של מוריה שיחול בדיוק בעוד 50 שבועות מהיום החלטת כמרצה קרינג׳ סייד איי להפתיע אותה</t>
  </si>
  <si>
    <t xml:space="preserve">בגלידה. </t>
  </si>
  <si>
    <t xml:space="preserve">ידוע כי העלות של השובר לגולדה אותו תרכוש בדיוק ביום ההולדת תעמוד על 5,000 ש״ח. </t>
  </si>
  <si>
    <t xml:space="preserve">לשם מימון ההפתעה בכוונתך להפקיד בסוף כל שבוע במשך 50 שבועות סכום קבוע. </t>
  </si>
  <si>
    <t xml:space="preserve">מהו הסכום הקבוע שנדרש להפקיד כדי להגשים את החלום, אם ידוע ששיעור הריבית השבועית 0.1%. </t>
  </si>
  <si>
    <t>שאלה 3.2</t>
  </si>
  <si>
    <t>שאלה דומה נוספת לזו - סלמור</t>
  </si>
  <si>
    <t xml:space="preserve">סמנכ״ל הכספים בחברת ״סלמור״ בע״מ מעוניין לחסוך סכום קבוע בתום כל חודש במשך 14 חודשים, </t>
  </si>
  <si>
    <t>כך שמיד לאחר מכן (בתום חודש 14 = תחילת חודש 15) יוכל למשוך סכום חד פעמי של 10,000 ש״ח ובנוסף,</t>
  </si>
  <si>
    <t xml:space="preserve">בכל תחילת חודש במשך שנה סכום חודשי של 800 ש״ח. </t>
  </si>
  <si>
    <t>נדרש: בהנחה שהריבית החודשית היא 0.5%, מהו הסכום החודשי שהסמנכ״ל צריך להפקיד?</t>
  </si>
  <si>
    <t>זמן (חודשים)</t>
  </si>
  <si>
    <t>כסף חד פעמי</t>
  </si>
  <si>
    <t>כסף - חודשי</t>
  </si>
  <si>
    <t>ורוד:</t>
  </si>
  <si>
    <t>ירוק:</t>
  </si>
  <si>
    <t>צהוב:</t>
  </si>
  <si>
    <t>חילוץ</t>
  </si>
  <si>
    <r>
      <rPr>
        <b/>
        <sz val="12"/>
        <color rgb="FFFF0000"/>
        <rFont val="David"/>
        <family val="2"/>
        <charset val="177"/>
      </rPr>
      <t>תוספת</t>
    </r>
    <r>
      <rPr>
        <sz val="12"/>
        <color theme="1"/>
        <rFont val="David"/>
        <family val="2"/>
        <charset val="177"/>
      </rPr>
      <t xml:space="preserve"> של</t>
    </r>
  </si>
  <si>
    <t>ערך נוכחי</t>
  </si>
  <si>
    <t>סכום</t>
  </si>
  <si>
    <t>הסכומים</t>
  </si>
  <si>
    <t>של הסכומים</t>
  </si>
  <si>
    <t>גישה א:</t>
  </si>
  <si>
    <t>ההפקדה pmt</t>
  </si>
  <si>
    <t>בזמן 14</t>
  </si>
  <si>
    <t>העתידיים</t>
  </si>
  <si>
    <t>הפקדות</t>
  </si>
  <si>
    <t xml:space="preserve">זמן 15 </t>
  </si>
  <si>
    <t>והלאה</t>
  </si>
  <si>
    <t>בנפרד</t>
  </si>
  <si>
    <r>
      <rPr>
        <sz val="12"/>
        <color theme="9" tint="0.39997558519241921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+10,800</t>
    </r>
  </si>
  <si>
    <t>גישה ב:</t>
  </si>
  <si>
    <t>כל סדרת</t>
  </si>
  <si>
    <t>ההפקדות</t>
  </si>
  <si>
    <t>מזמן 14 צפונה</t>
  </si>
  <si>
    <t>בגוש אחד</t>
  </si>
  <si>
    <r>
      <rPr>
        <sz val="12"/>
        <color theme="9" tint="0.39997558519241921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+10,000</t>
    </r>
  </si>
  <si>
    <t xml:space="preserve">שי הבטיח ליואבי שישלם לו 500 ש״ח אחת לשנתיים, במשך 8 השנים הבאות, כאשר התשלום הראשון יהיה </t>
  </si>
  <si>
    <t xml:space="preserve">בעוד שנתיים מהיום. הריבית לשנתיים היא בשיעור 21%. </t>
  </si>
  <si>
    <t>משה פנה ליואבי, והציע לו להתנתק משי ובתמורה ישלם לו סכום חד פעמי היום. מהו הסכום המינימלי החד</t>
  </si>
  <si>
    <t>פעמי שיצטרך משה לשלם ליואבי, על מנת שיסכים לוותר על סדרת התקבולים שמגיעה לו משי?</t>
  </si>
  <si>
    <t>תשובה סופית: 1,270.22 ש״ח.</t>
  </si>
  <si>
    <t>הצעת שי</t>
  </si>
  <si>
    <t>הצעת משה</t>
  </si>
  <si>
    <t>סך הכל
4 תשלומים
ריבית לשנתיים
21%</t>
  </si>
  <si>
    <t>ראו תחשיב למטה</t>
  </si>
  <si>
    <t>כדי להסכים להצעה לקבלת מזומן במקום סדרת תשלומים, אדרוש לכל הפחות את הערך הנוכחי של סדרת התשלומים.</t>
  </si>
  <si>
    <t>במונחי זמן 0</t>
  </si>
  <si>
    <t>שאלה 5</t>
  </si>
  <si>
    <t>רמה: טובה</t>
  </si>
  <si>
    <t>גלית חוגגת היום את יום הולדתה ה-25. היא מתכננת להפקיד בכל סוף חודש במשך 42 השנים הבאות סכום</t>
  </si>
  <si>
    <t>קבוע בחסכון. ביום הולדתה ה-67 תפרוש לפנסיה, ותתבסס על החסכון לקבלת קצבאות. מיום הולדתה ה-67</t>
  </si>
  <si>
    <t xml:space="preserve">עד יום הולדתה ה-85 מעוניינת גלית למשוך 15,000 ש״ח בתחילת כל חודש. הריבית החודשית היא 0.5%. </t>
  </si>
  <si>
    <t>נדרש: מהו הסכום החודשי שגלית צריכה להפקיד בתכנית החסכון, בסוף כל חודש במהלך 42 השנים?</t>
  </si>
  <si>
    <t>תשובה סופית: 875.87 ש״ח.</t>
  </si>
  <si>
    <t>מדובר בטיפוס שאלה שאני אוהב לקרוא לה ״איזון אקטוארי״. זהו מונח מקובל למדי מעולם הביטוח והפנסיה</t>
  </si>
  <si>
    <t>המתאר את היכולת להתבסס על חסכון מוקדם ארוך טווח, במטרה לממן סדרת משיכות / קצבאות / תקבולים</t>
  </si>
  <si>
    <t>ארוכי טווח לאחר מכן.</t>
  </si>
  <si>
    <t xml:space="preserve">הדרך לפתרון שאלות מסוג זה מתבסת על שילוב הכלים שנלמדו: </t>
  </si>
  <si>
    <t>ערך נוכחי - PV של המשיכות.</t>
  </si>
  <si>
    <t xml:space="preserve">ערך עתידי - FV של ההפקדות. </t>
  </si>
  <si>
    <t>המטרה היא לבטא את שני הערכים לאותה נקודת זמן, ולחלץ ערכים נדרשים על בסיס ההשוואה.</t>
  </si>
  <si>
    <t>במקרה זה, נתחיל מהטיפול בסדרת המשיכות - וזאת משום שקיימים נתונים מלאים לגבי סדרה זו (בשונה</t>
  </si>
  <si>
    <t>מסדרת ההפקדות שלגביה חסר סכום ההפקדה):</t>
  </si>
  <si>
    <t>ביום הולדתה ה-67 תפרוש לפנסיה, ותתבסס על החסכון לקבלת קצבאות. מיום הולדתה ה-67</t>
  </si>
  <si>
    <t>חישוב ערך נוכחי לסדרת הקצבאות:</t>
  </si>
  <si>
    <t>PV(משיכות)</t>
  </si>
  <si>
    <t>מדובר ב-18 שנות קצבה (מ-67 עד 85) כאשר המשיכה כל חודש - 12 בשנה:</t>
  </si>
  <si>
    <t>אין מטרה להגיע ליתרה צבורה בתום התקופה</t>
  </si>
  <si>
    <t>כרשום: המשיכה בתחילת כל חודש</t>
  </si>
  <si>
    <t>שימו לב: הואיל ובוצע חישוב של תחילת תקופה type=1 נקודת הזמן אליה הוביל החישוב היא בדיוק</t>
  </si>
  <si>
    <t>נקודת הזמן של הקצבה הראשונה: גיל 67 (יומולדת 67). אם הייתי מזין type=0 היינו מגיעים לגיל 66 ו-11 חודשים.</t>
  </si>
  <si>
    <t>חישוב ערך עתידי לסדרת ההפקדות:</t>
  </si>
  <si>
    <t>FV(הפקדות)</t>
  </si>
  <si>
    <t>מפקידה מגיל 25 עד 67, קרי 42 שנים, בסוף כל חודש:</t>
  </si>
  <si>
    <t>אין הפקדה חד פעמית</t>
  </si>
  <si>
    <t>הנדרש - סכום הפקדה</t>
  </si>
  <si>
    <t>יעד הצבירה לגיל 67</t>
  </si>
  <si>
    <t>הפקדה בסוף כל חודש</t>
  </si>
  <si>
    <t>מסקנה: סכום ההפקדה החודשי הנדרש מגיל 25 וחודש (סוף תקופה) עד 67 הוא כ-875.87 ש״ח.</t>
  </si>
  <si>
    <t>שאלה 6</t>
  </si>
  <si>
    <t>הציעו למוקיון לבחור בין קבלת סכום של 100,000 ש״ח בסוף כל שנה במשך 10 השנים הבאות, לבין קבלת</t>
  </si>
  <si>
    <t>סכום של 700,000 ש״ח באופן חד פעמי היום.</t>
  </si>
  <si>
    <t>הריבית השנתית היא בשיעור 8%.</t>
  </si>
  <si>
    <t>א. מהי החלופה שתועדף? (תשובה סופית: קבלת הסכום החד פעמי היום)</t>
  </si>
  <si>
    <t>ב. אם מוקיון יבקש לפרוס את החלופה של הסכום החד פעמי ל-10 תשלומים סוף שנתיים במשך 10 השנים</t>
  </si>
  <si>
    <t>הקרובות, מהו הסכום שיקבל בסוף כל אחת מ-10 שנים אלו? (תשובה סופית: כ-104,320.64 ש״ח)</t>
  </si>
  <si>
    <t>פתרון א:</t>
  </si>
  <si>
    <t>קבלת סדרה</t>
  </si>
  <si>
    <t>קבלת חד פעמי</t>
  </si>
  <si>
    <t>חד פעמי עדיף! עדיף 700,000 ביד</t>
  </si>
  <si>
    <t>מ-671,008 ש״ח שיתקבלו כערך</t>
  </si>
  <si>
    <t>נוכחי של סדרת תשלומים.</t>
  </si>
  <si>
    <t>פתרון ב:</t>
  </si>
  <si>
    <t>פריסת חד פעמי לסדרה</t>
  </si>
  <si>
    <t xml:space="preserve">התשובה הסופית </t>
  </si>
  <si>
    <t>הרחבת סעיף ב ״בשביל הספורט״ (רשות):</t>
  </si>
  <si>
    <t>משיכה</t>
  </si>
  <si>
    <t>יתרה</t>
  </si>
  <si>
    <t>רמה: קלילה</t>
  </si>
  <si>
    <t>רועי מבקש היום מהבנק משכנתא בסך 250,000 ש״ח. החזרי המשכנתא מבוצעים מדי סוף חודש. הריבית</t>
  </si>
  <si>
    <t>החודשית שהבנק דורש על הלוואות משכנתא היא 1.5%. הוא מעוניין לפרוס את החזרי המשכנתא על פני</t>
  </si>
  <si>
    <t>תקופה של 20 שנים. מהו ההחזר החודשי הקבוע שרועי יידרש לשלם לבנק? (תשובה סופית: 3,858.28 ש״ח)</t>
  </si>
  <si>
    <t>חישוב החזר תקופתי</t>
  </si>
  <si>
    <t>בכוונתך לבצע פרויקט שמשכו שנה וחצי, ועבורו תקבל שכר כדלקמן:</t>
  </si>
  <si>
    <r>
      <rPr>
        <sz val="12"/>
        <color rgb="FFFF0000"/>
        <rFont val="David"/>
        <family val="2"/>
        <charset val="177"/>
      </rPr>
      <t>בחצי השנה הראשונה</t>
    </r>
    <r>
      <rPr>
        <sz val="12"/>
        <color theme="1"/>
        <rFont val="David"/>
        <family val="2"/>
        <charset val="177"/>
      </rPr>
      <t xml:space="preserve"> - השכר יהיה 10,000 ש״ח בסוף כל חודש, במשך 6 חודשים.</t>
    </r>
  </si>
  <si>
    <r>
      <rPr>
        <sz val="12"/>
        <color rgb="FF0070C0"/>
        <rFont val="David"/>
        <family val="2"/>
        <charset val="177"/>
      </rPr>
      <t>בחצי השנה השניה</t>
    </r>
    <r>
      <rPr>
        <sz val="12"/>
        <color theme="1"/>
        <rFont val="David"/>
        <family val="2"/>
        <charset val="177"/>
      </rPr>
      <t xml:space="preserve"> - לא תקבל שכר.</t>
    </r>
  </si>
  <si>
    <r>
      <t>במחצית הראשונה של השנה השניה (=</t>
    </r>
    <r>
      <rPr>
        <sz val="12"/>
        <color rgb="FF00B050"/>
        <rFont val="David"/>
        <family val="2"/>
        <charset val="177"/>
      </rPr>
      <t>מחצית שלישית</t>
    </r>
    <r>
      <rPr>
        <sz val="12"/>
        <color theme="1"/>
        <rFont val="David"/>
        <family val="2"/>
        <charset val="177"/>
      </rPr>
      <t>): תקבל שכר של 15,000 ש״ח בכל סוף חודש.</t>
    </r>
  </si>
  <si>
    <t>הריבית החודשית בשנה הראשונה היא 1.5%.</t>
  </si>
  <si>
    <t xml:space="preserve">הריבית החודשית לאחר מכן היא 2.2%. </t>
  </si>
  <si>
    <r>
      <t xml:space="preserve">מהו ערכם הנוכחי של תקבולי השכר? (תשובה סופית: </t>
    </r>
    <r>
      <rPr>
        <b/>
        <sz val="12"/>
        <color theme="1"/>
        <rFont val="David"/>
        <family val="2"/>
        <charset val="177"/>
      </rPr>
      <t>126,774.5</t>
    </r>
    <r>
      <rPr>
        <sz val="12"/>
        <color theme="1"/>
        <rFont val="David"/>
        <family val="2"/>
        <charset val="177"/>
      </rPr>
      <t xml:space="preserve"> ש״ח)</t>
    </r>
  </si>
  <si>
    <t>תדריך בסיסי: ערך נוכחי מורכב, של מספר סדרות או סדרות עם הפסקות וכיוצא בזה, מומלץ לפתור כדלקמן:</t>
  </si>
  <si>
    <t>א. הצגה על ציר של תזרימי המזומנים ו/או תקופת ההמתנה (התקופה שאין בה תזרימים).</t>
  </si>
  <si>
    <t xml:space="preserve">ב. חישוב PV בשלבים, מהסוף להתחלה. מהסדרה המאוחרת למוקדמת. </t>
  </si>
  <si>
    <t xml:space="preserve">ג. ה - PV של כל שלב יהווה את ה - FV של השלב העוקב. כמובן, לא לשכוח להפוך סימן. </t>
  </si>
  <si>
    <t>מחצית ראשונה</t>
  </si>
  <si>
    <t>מחצית שניה</t>
  </si>
  <si>
    <t>מחצית שלישית</t>
  </si>
  <si>
    <t>שלב 3</t>
  </si>
  <si>
    <t>תשובה סופית:</t>
  </si>
  <si>
    <t>רמה: טובה או גבוהה (תלוי באיזו טכניקה פותרים)</t>
  </si>
  <si>
    <t>רותם קיבל הצעה להשתתף במשחק למשך שנה אחת. להלן כללי המשחק: בכל סוף חודש אי זוגי תקבל סכום</t>
  </si>
  <si>
    <t>של 500 ש״ח, ובסוף כל חודש זוגי תשלם סכום של 505 ש״ח. הריבית לחודשיים היא 2.01% והריבית לחודש</t>
  </si>
  <si>
    <t>היא 1%. האם כדאי להשתתף במשחק? (תשובה סופית: קיימת אדישות בדבר השתתפות או אי השתתפות במשחק)</t>
  </si>
  <si>
    <t>יש כאן שתי סדרות שצריך לחשב עבורן את הערך הנוכחי בצורה שונה לגמרי:</t>
  </si>
  <si>
    <t>סדרה 1: תקבולים בזמן 1, 3, 5 וכיו״ב, עד וכולל חודש 11, בסך הכל 6 תשלומים, בסך 500 כל אחד.</t>
  </si>
  <si>
    <t>סדרה 2: תקבולים בזמן 2, 4, 6 וכיו״ב, עד וכולל חודש 12, בסך הכל 6 תשלומים, בסך 505 כל אחד.</t>
  </si>
  <si>
    <t xml:space="preserve">בכל מקרה, מרווח הזמן בין תשלומים הוא חודשיים. ולכן, כשם שהסבירה לי התלמידה החרוצה עם הכובע, </t>
  </si>
  <si>
    <t>הריבית העיקרית הרלוונטית כאן לחישובים היא 2.01%, שהיא ריבית לחודשיים, ריבית לפרק הזמן בין תשלומים.</t>
  </si>
  <si>
    <t>הטריק הוא כזה:</t>
  </si>
  <si>
    <t xml:space="preserve">ערך נוכחי של סדרה מוביל תמיד ״תקופה אחת אחורה״ ביחס לתחילתה. אם תקופת התשלום היא חודש, אז </t>
  </si>
  <si>
    <t xml:space="preserve">מצויין, הערך הנוכחי מוביל בדיוק חודש אחורה ביחס לתחילת הסדרה. אבל, אם התשלום במרווחי זמן של כל </t>
  </si>
  <si>
    <t>חודשיים, הערך הנוכחי הסדרתי מקפיץ אותנו חודשיים לאחור.</t>
  </si>
  <si>
    <t xml:space="preserve">מכך נוצרת תוצאה מעט מעניינת: בעוד שהסדרה הראשונה מתחילה בזמן 1, ולכן חישוב ערכה הנוכחי מוביל </t>
  </si>
  <si>
    <t xml:space="preserve">את התוצאה לזמן 1- (חודשיים אחורה, תקופת תשלום אחת אחורה), הרי שהסדרה השניה מתחילה בזמן 2, </t>
  </si>
  <si>
    <t>ולכן חישוב ערכה הנוכחי מוביל את התוצאה לזמן אפס (חודשיים אחורה ביחס לתשלום הראשון שהוא בזמן 2).</t>
  </si>
  <si>
    <t xml:space="preserve">את התוצאה לזמן 1- של הסדרה הראשונה מתאמים לזמן 0 על ידי מכפלה פשוטה באחת ועוד הריבית. </t>
  </si>
  <si>
    <t>את התוצאה לזמן 0 של הסדרה השניה לא צריך להתאים.</t>
  </si>
  <si>
    <t>תקבולים</t>
  </si>
  <si>
    <t>ערך נוכחי של התקבולים ל-1-</t>
  </si>
  <si>
    <t>התאמת התוצאה מ-1- ל-0 עם ריבית לחודש:</t>
  </si>
  <si>
    <t>הסבר: הריבית לחודש היא 1%, ודרכה נתאם את התוצאה מ-1- ל-0:</t>
  </si>
  <si>
    <t>2,800 * (1 + 1%) = 2,828</t>
  </si>
  <si>
    <t>ערך נוכחי של התשלומים ל-0:</t>
  </si>
  <si>
    <t xml:space="preserve">הסבר: התשלומים התחילו ב-2, לכן הקפיצה שלהם חודשיים אחורה (תקופת תשלום אחת אחורה) מובילה ל-0, </t>
  </si>
  <si>
    <t>והגענו לזמן 0 בהגדרה.</t>
  </si>
  <si>
    <t>והואיל והתוצאה זהה (למעט הפרשי עיגול) בהיבט התשלומים להיבט התקבולים, קיימת אדישות אם להתקשר</t>
  </si>
  <si>
    <t>בעסקה או לא.</t>
  </si>
  <si>
    <t>דבורי מעוניינת לחסוך בתום כל חודש במשך שנתיים סכום קבוע, כך שבחלוף שנתיים יתאפשר לה למשוך סכום</t>
  </si>
  <si>
    <t>חד פעמי של 25,000 ש״ח, ובתום כל חודש עוקב במשך 3 שנים סכום של 2,000 ש״ח.</t>
  </si>
  <si>
    <t>נדרש: בהנחה שהריבית החודשית היא 0.5%, מהו הסכום החודשי שהדבורה צריכה להפקיד?</t>
  </si>
  <si>
    <t>בזמן 24</t>
  </si>
  <si>
    <t>התשובה הסופית: נדרש להפקיד בתום כל חודש במשך שנתיים סכום של כ-3,568 ש״ח.</t>
  </si>
  <si>
    <t>רקע:</t>
  </si>
  <si>
    <t>וזו לא תשובה מספיק ברורה, נכון?</t>
  </si>
  <si>
    <t xml:space="preserve">אבל הנקודה כן ברורה: מסתירים לנו באותיות הקטנות גורמים נוספים שמשפיעים על הריבית שנשלם, פרט לריבית </t>
  </si>
  <si>
    <t>החוזית עצמה המופיעה בהסדר ההשקעה או ההלוואה.</t>
  </si>
  <si>
    <t xml:space="preserve">עמלות - מכירים? עמלת פתיחת תיק - מכירים? ישנם גורמים רבים המהווים עלויות מימון וצריך לשקלל אותם  </t>
  </si>
  <si>
    <t>בחישוב הריבית האמיתית שמעתה נקרא לה ״ריבית אפקטיבית״.</t>
  </si>
  <si>
    <t>בפרט, חישוב הריבית האפקטיבית בקורס יישען על ההבנה שהריבית הכוללת מושפעת מ-4 מרכיבים:</t>
  </si>
  <si>
    <t>א. ריבית חוזית / נקובה: זו המופיעה / מצויינת (״נקובה״) בהסכם ההלוואה או ההשקעה.</t>
  </si>
  <si>
    <t>ב. ריבית דריבית: חישובי ריבית על בסיס מעריכי שמובילים לגידול בריבית האפקטיבית אל מעבר  לריבית הנקובה.</t>
  </si>
  <si>
    <t>ג. ריבית מראש: ניכויים מראש מגדילים את הריבית האפקטיבית, ובהמשך נסביר מדוע בדיוק.</t>
  </si>
  <si>
    <t xml:space="preserve">ד. עמלות ו״אותיות קטנות״. בכך נדון בצורה ממוקדת יותר בהמשך הדרך על בסיס יישומים שונים. </t>
  </si>
  <si>
    <t>נוסחת המרת הריבית מריבית נקובה לתקופה מסויימת לריבית נקובה לתקופה אחרת (טריביאלי ביותר):</t>
  </si>
  <si>
    <t>Rt = R/n</t>
  </si>
  <si>
    <t>Rt</t>
  </si>
  <si>
    <t>הריבית הנקובה לתקופה הנדרשת</t>
  </si>
  <si>
    <t>R</t>
  </si>
  <si>
    <t>הריבית הנקובה לתקופה הנתונה. בדרך כלל (אך לא תמיד) לשנה</t>
  </si>
  <si>
    <t>היחס בין התקופה הנתונה לתקופה הנדרשת</t>
  </si>
  <si>
    <t>נוסחת הריבית האפקטיבית במצב של ״ריבית דריבית״:</t>
  </si>
  <si>
    <t>re = (1 + R/n)^(m) - 1</t>
  </si>
  <si>
    <t>re</t>
  </si>
  <si>
    <t>הריבית האפקטיבית (הנדרש).</t>
  </si>
  <si>
    <t>הריבית הנקובה, המחושבת כריבית דריבית.</t>
  </si>
  <si>
    <t>מספר תקופות חישוב הריבית בתקופת הריבית הנקובה הנתונה.</t>
  </si>
  <si>
    <t>m</t>
  </si>
  <si>
    <t>מספר תקופות חישוב הריבית בתקופה הכוללת שלגביה מחושבת הריבית האפקטיבית.</t>
  </si>
  <si>
    <t>נוסחה המתאימה להמרת ריבית אפקטיבית נתונה מתקופה מסויימת לאחרת:</t>
  </si>
  <si>
    <t>re = (1 + r)^(m) - 1</t>
  </si>
  <si>
    <t>הריבית האפקטיבית לתקופה הנדרשת</t>
  </si>
  <si>
    <t>הריבית האפקטיבית לתקופה הנתונה</t>
  </si>
  <si>
    <t>מתאם הזמן: היחס בין התקופה הנדרשת לתקופה הנתונה</t>
  </si>
  <si>
    <t>נוסחה המתאימה לחישובי ריבית מראש ובאופן כללי להלוואות הנפרעות בתשלום אחד:</t>
  </si>
  <si>
    <t xml:space="preserve">re = (Pt/P0) - 1 </t>
  </si>
  <si>
    <t>הריבית האפקטיבית לתקופת העסקה כולה.</t>
  </si>
  <si>
    <t>Pt</t>
  </si>
  <si>
    <t>התשלום / התקבול בתום התקופה, בערך מוחלט</t>
  </si>
  <si>
    <t>P0</t>
  </si>
  <si>
    <t>התשלום / התקבול בתחילת התקופה, בערך מוחלט.</t>
  </si>
  <si>
    <t>שאלה 1 - המרת תקופות של ריבית נקובה בלבד, ללא ריבית אפקטיבית - קליל ברמות אחרות</t>
  </si>
  <si>
    <r>
      <t xml:space="preserve">פוקינטה נטלה הלוואה בריבית </t>
    </r>
    <r>
      <rPr>
        <b/>
        <sz val="12"/>
        <color theme="1"/>
        <rFont val="David"/>
        <family val="2"/>
        <charset val="177"/>
      </rPr>
      <t>נקובה</t>
    </r>
    <r>
      <rPr>
        <sz val="12"/>
        <color theme="1"/>
        <rFont val="David"/>
        <family val="2"/>
        <charset val="177"/>
      </rPr>
      <t xml:space="preserve"> שנתית בשיעור 9%. נדרש:</t>
    </r>
  </si>
  <si>
    <t xml:space="preserve">ריבית נקובה: ריבית בסיסית, חוזית, שהמרתה מתקופה לתקופה מבוצעת על בסיס כפל / חילוק פשוט בלבד. </t>
  </si>
  <si>
    <r>
      <t xml:space="preserve">היא </t>
    </r>
    <r>
      <rPr>
        <b/>
        <sz val="12"/>
        <color theme="1"/>
        <rFont val="David"/>
        <family val="2"/>
        <charset val="177"/>
      </rPr>
      <t>לא</t>
    </r>
    <r>
      <rPr>
        <sz val="12"/>
        <color theme="1"/>
        <rFont val="David"/>
        <family val="2"/>
        <charset val="177"/>
      </rPr>
      <t xml:space="preserve"> מגלמת (ולא אמורה לגלם) השפעות נוספות כגון ריבית דריבית ועמלות.</t>
    </r>
  </si>
  <si>
    <t>א.</t>
  </si>
  <si>
    <t xml:space="preserve">9% / 12 = </t>
  </si>
  <si>
    <t>ב.</t>
  </si>
  <si>
    <t xml:space="preserve">9% / 6 = </t>
  </si>
  <si>
    <t>ג.</t>
  </si>
  <si>
    <t xml:space="preserve">9% / 4 = </t>
  </si>
  <si>
    <t>ד.</t>
  </si>
  <si>
    <t xml:space="preserve">9% / 2 = </t>
  </si>
  <si>
    <t>בונגילה נטל הלוואה בסך 20,000 ש״ח בריבית שנתית נקובה בשיעור 8%. הקרן והריבית יוחזרו לבנק בתום השנה.</t>
  </si>
  <si>
    <t>א. מהי הריבית האפקטיבית השנתית אם הבנק מחשב את הריבית פעם אחת בתום השנה? (תשובה: 8%)</t>
  </si>
  <si>
    <t xml:space="preserve">20,000 * (1+8%) = </t>
  </si>
  <si>
    <t>סך תשלום</t>
  </si>
  <si>
    <t>סך התקבול</t>
  </si>
  <si>
    <t>כולל ריבית 8%</t>
  </si>
  <si>
    <t>בנטילת הלוואה</t>
  </si>
  <si>
    <t xml:space="preserve">re = (21,600/20,000) - 1 = </t>
  </si>
  <si>
    <r>
      <t xml:space="preserve">הסבר: </t>
    </r>
    <r>
      <rPr>
        <sz val="12"/>
        <color rgb="FFFF0000"/>
        <rFont val="David"/>
        <family val="2"/>
        <charset val="177"/>
      </rPr>
      <t>בעסקאות ״פשוטות״ שנפרעות בתשלום אחד</t>
    </r>
    <r>
      <rPr>
        <sz val="12"/>
        <color theme="1"/>
        <rFont val="David"/>
        <family val="2"/>
        <charset val="177"/>
      </rPr>
      <t>, ניתן לחשב את הריבית האפקטיבת re על בסיס היחס בין הערך</t>
    </r>
  </si>
  <si>
    <t>נקובה</t>
  </si>
  <si>
    <t>R = 8%</t>
  </si>
  <si>
    <t>8%/4 = 2%</t>
  </si>
  <si>
    <t>כעת, כשאנו יודעים איזה סכום הלוואה לקחנו (20,000) ואיזה סכום סופי מחזירים (21,648.64) הרי שלפי ההגדרה,</t>
  </si>
  <si>
    <t xml:space="preserve">re = (21648.64/20000) - 1 = </t>
  </si>
  <si>
    <t>כיכר לחם: ריבית נקובה</t>
  </si>
  <si>
    <r>
      <t>re = (1 + 8%/4)^4 - 1 =</t>
    </r>
    <r>
      <rPr>
        <b/>
        <sz val="12"/>
        <color rgb="FF0070C0"/>
        <rFont val="David"/>
        <family val="2"/>
        <charset val="177"/>
      </rPr>
      <t xml:space="preserve"> 8.2432%</t>
    </r>
  </si>
  <si>
    <t>לפרוס למספר הפרוסות (תקופות חישוב)</t>
  </si>
  <si>
    <t xml:space="preserve">כאן: לרבעים. מחלקים ב-4, זה ה - n. </t>
  </si>
  <si>
    <t>אחר כך: כמה פרוסות אני צריך???</t>
  </si>
  <si>
    <t>בהתאם לתקופה הכוללת (כמו להגיד:</t>
  </si>
  <si>
    <t>בהתאם למספר האורחים)</t>
  </si>
  <si>
    <t>בהמשך הדרך נבצע מגוון דוגמאות להמחשה מחודדת יותר של ההבדל בין n ל - m. בינתיים, מספיק לנו לחדד</t>
  </si>
  <si>
    <r>
      <t xml:space="preserve">במוחנו את התובנה החשובה: ה-n וה-m במקרה הכללי בהחלט עשויים להיות </t>
    </r>
    <r>
      <rPr>
        <b/>
        <sz val="12"/>
        <color theme="1"/>
        <rFont val="David"/>
        <family val="2"/>
        <charset val="177"/>
      </rPr>
      <t>שונים</t>
    </r>
    <r>
      <rPr>
        <sz val="12"/>
        <color theme="1"/>
        <rFont val="David"/>
        <family val="2"/>
        <charset val="177"/>
      </rPr>
      <t xml:space="preserve">. </t>
    </r>
  </si>
  <si>
    <t>זוקיני נטל הלוואה לשנה בריבית נקובה שנתית בשיעור 9%. מהי הריבית האפקטיבית השנתית בכל אחד מהמקרים</t>
  </si>
  <si>
    <t>הבאים:</t>
  </si>
  <si>
    <t xml:space="preserve">א. כאשר הבנק מחשב את הריבית כל חודש (תשובה: 9.3807%). </t>
  </si>
  <si>
    <t xml:space="preserve">re = (1 + 9%/12)^12 - 1 = </t>
  </si>
  <si>
    <t>ב. כאשר הבנק מחשב את הריבית כל חודשיים (תשובה: 9.3443%)</t>
  </si>
  <si>
    <t xml:space="preserve">re = (1 + 9%/6)^6 - 1 = </t>
  </si>
  <si>
    <t>ג. כאשר הבנק מחשב את הריבית כל רבעון (תשובה: 9.3083%).</t>
  </si>
  <si>
    <t xml:space="preserve">re = (1 + 9%/4)^4 - 1 = </t>
  </si>
  <si>
    <t xml:space="preserve">ד. כאשר הבנק מחשב את הריבית כל חצי שנה (תשובה: 9.2025%). </t>
  </si>
  <si>
    <t xml:space="preserve">re = (1 + 9%/2)^2 - 1 = </t>
  </si>
  <si>
    <t>נתונה ריבית נקובה שנתית בשיעור 12% המחושבת כל רבעון. נדרש:</t>
  </si>
  <si>
    <t>א. מהי הריבית האפקטיבית השנתית? (תשובה: 12.5509%)</t>
  </si>
  <si>
    <t xml:space="preserve">re = (1 + 12%/4)^4 - 1 = </t>
  </si>
  <si>
    <t>ב. מהי הריבית האפקטיבית לתקופה של שנתיים? (תשובה: 26.677%)</t>
  </si>
  <si>
    <t xml:space="preserve">re = (1 + 12%/4)^8 - 1 = </t>
  </si>
  <si>
    <t>ג. מהי הריבית האפקטיבית לתקופה של 3 שנים? (תשובה: 42.5761%)</t>
  </si>
  <si>
    <t xml:space="preserve">re = (1 + 12%/4)^12 - 1 = </t>
  </si>
  <si>
    <t>ד. מהי הריבית האפקטיבית לתקופה של חודש? (תשובה: 0.99016%)</t>
  </si>
  <si>
    <t xml:space="preserve">re = (1 + 12%/4)^(1/3) - 1 = </t>
  </si>
  <si>
    <t xml:space="preserve">מעריך החזקה m ניתן לחישוב ברמה הטכנית לפי היחס בין ״הרצוי״ ל״מצוי״. </t>
  </si>
  <si>
    <t>הרצוי = התקופה הנדרשת.</t>
  </si>
  <si>
    <t>המצוי = ריבית הבסיס לתקופת חישוב אחת.</t>
  </si>
  <si>
    <t>בסעיף א:</t>
  </si>
  <si>
    <t>רצוי</t>
  </si>
  <si>
    <t>שנה</t>
  </si>
  <si>
    <t>מצוי</t>
  </si>
  <si>
    <t>רבעון</t>
  </si>
  <si>
    <t>זכרו: מצוי = תקופת חישוב, כאן - רבעון</t>
  </si>
  <si>
    <t>היחס - מעריך החזקה</t>
  </si>
  <si>
    <t>בסעיף ב:</t>
  </si>
  <si>
    <t>שנתיים</t>
  </si>
  <si>
    <t>בסעיף ג:</t>
  </si>
  <si>
    <t>חודש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</si>
  <si>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1/3</t>
    </r>
  </si>
  <si>
    <t>רבעון הוא 3 חודשים. לכן היחס בין הרצוי למצוי</t>
  </si>
  <si>
    <t>הוא לפי היחס בין חודש לבין 3 חודשים כלומר 1/3</t>
  </si>
  <si>
    <t>אלפחורס פנתה לבנק וביקשה הלוואה. הבנק גובה ריבית שנתית נקובה בשיעור %x המחושבת מדי חודש. אלפחורס</t>
  </si>
  <si>
    <t>שיגעה את הבנק ודרשה לדעת מה הריבית האפקטיבית. פקיד הבנק אמר לאלפחורס ״שחררי אותי אחותי הריבית</t>
  </si>
  <si>
    <t xml:space="preserve">האפקטיבית השנתית היא 19.5618%״. </t>
  </si>
  <si>
    <r>
      <t xml:space="preserve">נדרש: </t>
    </r>
    <r>
      <rPr>
        <b/>
        <sz val="12"/>
        <color rgb="FF00B0F0"/>
        <rFont val="David"/>
        <family val="2"/>
        <charset val="177"/>
      </rPr>
      <t>(א)</t>
    </r>
    <r>
      <rPr>
        <sz val="12"/>
        <color theme="1"/>
        <rFont val="David"/>
        <family val="2"/>
        <charset val="177"/>
      </rPr>
      <t xml:space="preserve"> מהי הריבית הנקובה השנתית. </t>
    </r>
    <r>
      <rPr>
        <b/>
        <sz val="12"/>
        <color rgb="FFFF0000"/>
        <rFont val="David"/>
        <family val="2"/>
        <charset val="177"/>
      </rPr>
      <t>(ב)</t>
    </r>
    <r>
      <rPr>
        <sz val="12"/>
        <color theme="1"/>
        <rFont val="David"/>
        <family val="2"/>
        <charset val="177"/>
      </rPr>
      <t xml:space="preserve"> מהי הריבית האפקטיבית החודשית בהלוואה? (תשובה: 1.5%)</t>
    </r>
  </si>
  <si>
    <r>
      <rPr>
        <b/>
        <sz val="12"/>
        <color rgb="FF00B0F0"/>
        <rFont val="David"/>
        <family val="2"/>
        <charset val="177"/>
      </rPr>
      <t>(א)</t>
    </r>
    <r>
      <rPr>
        <sz val="12"/>
        <color theme="1"/>
        <rFont val="David"/>
        <family val="2"/>
        <charset val="177"/>
      </rPr>
      <t xml:space="preserve"> כדי לחשב את </t>
    </r>
    <r>
      <rPr>
        <b/>
        <u/>
        <sz val="12"/>
        <color theme="1"/>
        <rFont val="David"/>
        <family val="2"/>
        <charset val="177"/>
      </rPr>
      <t>הריבית הנקובה השנתית</t>
    </r>
    <r>
      <rPr>
        <sz val="12"/>
        <color theme="1"/>
        <rFont val="David"/>
        <family val="2"/>
        <charset val="177"/>
      </rPr>
      <t xml:space="preserve"> (לחלץ את %x) היינו בונים משוואת ריבית אפקטיבית, שהתוצאה</t>
    </r>
  </si>
  <si>
    <t>שלה נתונה, והנעלם שלה (הריבית הנקובה) הוא %x:</t>
  </si>
  <si>
    <t>re = (1 + R/n)^m - 1</t>
  </si>
  <si>
    <t>בהצבה:</t>
  </si>
  <si>
    <t>העברנו את ה-1 אגף, הוא הפך לחיובי וקיבלנו:</t>
  </si>
  <si>
    <t>1.195618 = (1 + x/12)^12</t>
  </si>
  <si>
    <t>נעלה בחזקת 1/12 את שני האגפים כדי לבטל את החזקה:</t>
  </si>
  <si>
    <t>1.195618^(1/12) = 1 + x/12</t>
  </si>
  <si>
    <r>
      <rPr>
        <b/>
        <sz val="12"/>
        <color rgb="FFFF0000"/>
        <rFont val="David"/>
        <family val="2"/>
        <charset val="177"/>
      </rPr>
      <t>(ב)</t>
    </r>
    <r>
      <rPr>
        <b/>
        <sz val="12"/>
        <color theme="1"/>
        <rFont val="David"/>
        <family val="2"/>
        <charset val="177"/>
      </rPr>
      <t xml:space="preserve"> סוג השאלה: בשונה מכל השאלות הקודמות, הריבית הנתונה אפקטיבית ולא נקובה.</t>
    </r>
  </si>
  <si>
    <t xml:space="preserve">כאשר הריבית הנתונה אפקטיבית ולא נקובה, לעולם לא נבצע עליה פעולות של כפל או חילוק. </t>
  </si>
  <si>
    <t xml:space="preserve">אלא, כל התאמה של תקופה עבורה תבוצע באמצעות מעריך חזקה מתאים בלבד. </t>
  </si>
  <si>
    <t>סיכום ביניים:</t>
  </si>
  <si>
    <r>
      <t xml:space="preserve">משפט כגון: ״מהי הריבית האפקטיבית אם </t>
    </r>
    <r>
      <rPr>
        <sz val="12"/>
        <color rgb="FFFF0000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_____ והיא מחושבת כל ____״ = </t>
    </r>
  </si>
  <si>
    <r>
      <t xml:space="preserve">משפט כגון: ״מהי הריבית האפקטיבית אם </t>
    </r>
    <r>
      <rPr>
        <sz val="12"/>
        <color rgb="FFFF0000"/>
        <rFont val="David"/>
        <family val="2"/>
        <charset val="177"/>
      </rPr>
      <t>הריבית האפקטיבית</t>
    </r>
    <r>
      <rPr>
        <sz val="12"/>
        <color theme="1"/>
        <rFont val="David"/>
        <family val="2"/>
        <charset val="177"/>
      </rPr>
      <t xml:space="preserve"> לתקופה (אחרת) היא _____ ״ = </t>
    </r>
  </si>
  <si>
    <t>עינת שביט מעוניינת ליטול הלוואה בסך 100,000 ש״ח לתקופה של שנה. הקרן והריבית יושבו לבנק בסוף השנה.</t>
  </si>
  <si>
    <r>
      <t xml:space="preserve">הבנק דורש ריבית </t>
    </r>
    <r>
      <rPr>
        <sz val="12"/>
        <color theme="5"/>
        <rFont val="David"/>
        <family val="2"/>
        <charset val="177"/>
      </rPr>
      <t>נקובה שנתית</t>
    </r>
    <r>
      <rPr>
        <sz val="12"/>
        <color theme="1"/>
        <rFont val="David"/>
        <family val="2"/>
        <charset val="177"/>
      </rPr>
      <t xml:space="preserve"> בשיעור 9%, אשר מחושבת על </t>
    </r>
    <r>
      <rPr>
        <sz val="12"/>
        <color theme="5"/>
        <rFont val="David"/>
        <family val="2"/>
        <charset val="177"/>
      </rPr>
      <t>בסיס רבעוני</t>
    </r>
    <r>
      <rPr>
        <sz val="12"/>
        <color theme="1"/>
        <rFont val="David"/>
        <family val="2"/>
        <charset val="177"/>
      </rPr>
      <t xml:space="preserve">. בנוסף לריבית, גובה הבנק </t>
    </r>
  </si>
  <si>
    <t>עמלת עריכת מסמכים בסכום של 750 ש״ח. מהי הריבית האפקטיבית השנתית בהסדר? (תשובה: 10.1343%)</t>
  </si>
  <si>
    <t>סך החזר בתום תקופה</t>
  </si>
  <si>
    <t>&gt;&gt;&gt;&gt;&gt;&gt;&gt;&gt;&gt;&gt;&gt;&gt;&gt;&gt;&gt;&gt;&gt;&gt;&gt;&gt;&gt;&gt;&gt;&gt;&gt;&gt;&gt;</t>
  </si>
  <si>
    <t>קרן חוזית</t>
  </si>
  <si>
    <t>קרן כלכלית</t>
  </si>
  <si>
    <t>בהינתן סך התשלום בתום התקופה, וסכום התקבול נטו בתחילתה, ניתן לחשב ריבית אפקטיבית לפי היחס בין</t>
  </si>
  <si>
    <t>הערך המוחלט של הסכומים (פחות 1) כלומר:</t>
  </si>
  <si>
    <r>
      <t xml:space="preserve">re = (109,308/99,250) - 1 = </t>
    </r>
    <r>
      <rPr>
        <b/>
        <sz val="12"/>
        <color theme="1"/>
        <rFont val="David"/>
        <family val="2"/>
        <charset val="177"/>
      </rPr>
      <t>10.1343%</t>
    </r>
  </si>
  <si>
    <t>שאלה 7 - ריבית מראש המקרה הקלאסי</t>
  </si>
  <si>
    <t xml:space="preserve">זוהו הפרש הבודד מעוניין ליטול הלוואה הנושאת ריבית נקובה שנתית בשיעור 6% המשולמת מראש. מהי </t>
  </si>
  <si>
    <t xml:space="preserve">הריבית האפקטיבית בהסדר בהנחה שהעסקה היא לשנה אחת? (תשובה: 6.38%). </t>
  </si>
  <si>
    <t>כאשר נתוני הריבית הם אחוזיים בלבד, אין שום צורך בנתון ספציפי בדבר קרן הלוואה בש״ח כדי לפתור.</t>
  </si>
  <si>
    <t>נניח ללא הגבלת כלליות שהקרן היא 100 ש״ח (מותר, אך רק כאשר כל הנתונים באחוזים):</t>
  </si>
  <si>
    <t>&gt;&gt;&gt;&gt;&gt;&gt;&gt;&gt;&gt;&gt;&gt;&gt;&gt;&gt;&gt;&gt;&gt;&gt;&gt;&gt;&gt;&gt;&gt;&gt;&gt;&gt;&gt;&gt;&gt;&gt;&gt;&gt;&gt;&gt;&gt;&gt;&gt;</t>
  </si>
  <si>
    <t>ניכוי מראש</t>
  </si>
  <si>
    <r>
      <t xml:space="preserve">re = 100/94 - 1 = </t>
    </r>
    <r>
      <rPr>
        <b/>
        <sz val="12"/>
        <color theme="1"/>
        <rFont val="David"/>
        <family val="2"/>
        <charset val="177"/>
      </rPr>
      <t>6.38%</t>
    </r>
  </si>
  <si>
    <t>תמיד נצפה לכך שהריבית האפקטיבית בהינתן ריבית מראש תהיה גבוהה יותר מהריבית הנקובה.</t>
  </si>
  <si>
    <t>זאת, משום שריבית מראש מקטינה את קרן ההלוואה העומדת לרשותי, מבלי להקטין באופן יחסי מתאים</t>
  </si>
  <si>
    <t>את תשלום הריבית. כלומר, במצבי ניכוי ריבית מראש משלמים ״אותו דבר״ (אותה ריבית כספית) על ״פחות מוצר״</t>
  </si>
  <si>
    <t>כלומר על קרן קטנה יותר, ולכן העלות היחסית (ריבית אפקטיבית) גבוהה יותר.</t>
  </si>
  <si>
    <t>שאלה 8 - ריבית דריבית</t>
  </si>
  <si>
    <t>חשבו את הריבית האפקטיבית השנתית אם נתון כי הריבית הנקובה השנתית היא בשיעור 15% והיא:</t>
  </si>
  <si>
    <t>א. מחושבת כל רבעון (תשובה לבקרה: 15.865%)</t>
  </si>
  <si>
    <t>ב. מחושבת כל יום - הניחו 365 ימים בשנה (תשובה לבקרה: 16.1798%)</t>
  </si>
  <si>
    <t xml:space="preserve">ג. מחושבת כל חודש (תשובה לבקרה: 16.0755%). </t>
  </si>
  <si>
    <t>תזכורת:</t>
  </si>
  <si>
    <t>פירוט הפתרון לסעיפים השונים:</t>
  </si>
  <si>
    <t>re = (1 + 15%/4)^4 - 1</t>
  </si>
  <si>
    <t>re = (1 + 15%/365)^365 - 1</t>
  </si>
  <si>
    <t xml:space="preserve">ג. </t>
  </si>
  <si>
    <t>re = (1 + 15%/12)^12 - 1</t>
  </si>
  <si>
    <t>(*)</t>
  </si>
  <si>
    <t xml:space="preserve">חשבו את הריבית האפקטיבית החצי שנתית אם נתון כי הריבית הנקובה השנתית היא בשיעור 12% והיא </t>
  </si>
  <si>
    <t>מחושבת כל חודש. (תשובה לבקרה: 6.152%)</t>
  </si>
  <si>
    <t>הצבה / פתרון:</t>
  </si>
  <si>
    <t xml:space="preserve">re = (1 + 12%/12)^(6) - 1 = </t>
  </si>
  <si>
    <t xml:space="preserve">אם הריבית הנקובה היא 12% לשנה, ומחושבת כל חודש, בשלב ראשון חייבים לחלק אותה ב-12. </t>
  </si>
  <si>
    <t>כדי לדעת מה מעריך החזקה m נשאל את עצמנו: כמה תקופות חישוב ריבית (חודשים) נכללים בתקופה הנדרשת,</t>
  </si>
  <si>
    <t xml:space="preserve">לגביה נשאלנו (חצי שנה). התשובה 6. </t>
  </si>
  <si>
    <t>הואיל והריבית הנתונה אפקטיבית, ולא נקובה, כל התאמה של תקופתה תתבצע עם מעריך חזקה מתאים בלבד:</t>
  </si>
  <si>
    <t>דונקי חמור הגרם נוטל בבנק הלוואה בסך 200,000 ש״ח לתקופה של שנה. הקרן והריבית יוחזרו לבנק בתום</t>
  </si>
  <si>
    <t>השנה. הבנק דורש ריבית נקובה בשיעור 9% שתחושב ותשולם פעם אחת בתום ההלוואה. במועד קבלת ההלוואה</t>
  </si>
  <si>
    <t>יידרש דונקי לשלם עמלת עריכת מסמכים / עמלת הקצאת אשראי / עמלת שקר כלשהו למי אכפת העיקר שהבנק</t>
  </si>
  <si>
    <t xml:space="preserve">מקבל כסף, בשיעור 1.5% מסכום ההלוואה. </t>
  </si>
  <si>
    <t xml:space="preserve">מהי הריבית האפקטיבית השנתית שגובה הבנק? (תשובה: 10.6599%). </t>
  </si>
  <si>
    <t>הדרכה: הואיל ויש כאן שילוב של ריבית מראש, כדאי מאד לעבוד עם ציר זמן, שיציג את התקבול נטו לאחר הניכויים</t>
  </si>
  <si>
    <t>בזמן אפס (מייד), את התשלום הסופי (קרן משפטית בתוספת ריבית) בתום התקופה, והיחס בין הערכים (פחות אחת</t>
  </si>
  <si>
    <t>כמובן) יוביל לריבית האפקטיבית הכוללת בהסדר.</t>
  </si>
  <si>
    <t>תשלום בסוף</t>
  </si>
  <si>
    <t>קרן משפטית</t>
  </si>
  <si>
    <t>כולל ריבית</t>
  </si>
  <si>
    <t>קרן נטו</t>
  </si>
  <si>
    <r>
      <rPr>
        <sz val="12"/>
        <color theme="0"/>
        <rFont val="David"/>
        <family val="2"/>
        <charset val="177"/>
      </rPr>
      <t xml:space="preserve">, </t>
    </r>
    <r>
      <rPr>
        <sz val="12"/>
        <color theme="1"/>
        <rFont val="David"/>
        <family val="2"/>
        <charset val="177"/>
      </rPr>
      <t>-1 =</t>
    </r>
  </si>
  <si>
    <t>=</t>
  </si>
  <si>
    <t xml:space="preserve">re = </t>
  </si>
  <si>
    <t>תקבול התחלתי</t>
  </si>
  <si>
    <t>הניכוי מראש חושב לפי 1.5% מ-200,000 קרן התחלתית משפטית.</t>
  </si>
  <si>
    <t xml:space="preserve">התשלום בסוף כולל את הקרן המשפטית 200,000 בתוספת הריבית המשולמת בסוף בשיעור 9%. </t>
  </si>
  <si>
    <t>מטרה</t>
  </si>
  <si>
    <t>מטרת על: המשך תרגול סוגיות נוספות בחישובי ריבית אפקטיבית, הן כחזרה והן כחיזוק.</t>
  </si>
  <si>
    <r>
      <t xml:space="preserve">זוהו הפרש הבודד מעוניין ליטול הלוואה הנושאת ריבית נקובה שנתית בשיעור 6% </t>
    </r>
    <r>
      <rPr>
        <b/>
        <u/>
        <sz val="12"/>
        <color theme="1"/>
        <rFont val="David"/>
        <family val="2"/>
        <charset val="177"/>
      </rPr>
      <t>המשולמת מראש</t>
    </r>
    <r>
      <rPr>
        <sz val="12"/>
        <color theme="1"/>
        <rFont val="David"/>
        <family val="2"/>
        <charset val="177"/>
      </rPr>
      <t xml:space="preserve">. מהי </t>
    </r>
  </si>
  <si>
    <t>ניכוי מראש - לפי 6% ריבית מראש ביחס לקרן 100</t>
  </si>
  <si>
    <t>כאשר אנו יודעים בעסקה את הסכום נטו שמשלמים בתום התקופה (Pt)</t>
  </si>
  <si>
    <t>re = Pt/P0 - 1</t>
  </si>
  <si>
    <t xml:space="preserve">וכן את הסכום נטו שמקבלים בתחילת התקופה (P0), </t>
  </si>
  <si>
    <t xml:space="preserve">אזי היחס בין הערכים פחות אחת - הוא הריבית האפקטיבית לתקופת העסקה כולה. </t>
  </si>
  <si>
    <t>ולכן, זו הריבית האפקטיבית לתקופת העסקה, לשנה:</t>
  </si>
  <si>
    <t>כאשר הריבית הנקובה שנתית, והיא מחושבת כריבית דריבית (נקובה שמחושבת ״כל חודש״/״כל חצי שנה״/״כל רבעון״)</t>
  </si>
  <si>
    <t xml:space="preserve">והנדרש הוא אפקטיבית שנתית - m=n. </t>
  </si>
  <si>
    <t>למשל: ״הריבית החצי שנתית הנקובה 6%, מחושבת כל חודש, מהי הריבית האפקטיבית לרבעון״:</t>
  </si>
  <si>
    <t>ריבית נקובה</t>
  </si>
  <si>
    <t>כמה פעמים הריבית מחושבת בתוך התקופה הנקובה.</t>
  </si>
  <si>
    <t>כאן: כמה חודשים (תקופת חישוב) נכנסים בחצי שנה (תקופה נקובה)</t>
  </si>
  <si>
    <t>כמה תקופות חישוב (חודשים) נכנסות בתקופה שרוצים לחשב (כאן - רבעון):</t>
  </si>
  <si>
    <t xml:space="preserve">re = (1 + 6%/6)^3 - 1 = </t>
  </si>
  <si>
    <t>n = 3</t>
  </si>
  <si>
    <t>עוד דוגמא: ״הריבית הרבעונית הנקובה 8%, מחושבת כל חודש, מהי הריבית האפקטיבית השנתית״:</t>
  </si>
  <si>
    <t>m = 12</t>
  </si>
  <si>
    <t xml:space="preserve">re = (1 + 8%/3)^12 - 1 = </t>
  </si>
  <si>
    <t>כמה תקופות חישוב נכנסות בתקופה שרוצים לחשב.</t>
  </si>
  <si>
    <t>שאלה 3 - ריבית דריבית</t>
  </si>
  <si>
    <t>לבית, הנושא כבר נטחן במפגש 5 (ראו גיליון קודם)</t>
  </si>
  <si>
    <r>
      <t xml:space="preserve">חשבו את הריבית </t>
    </r>
    <r>
      <rPr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האפקטיבית</t>
    </r>
    <r>
      <rPr>
        <sz val="12"/>
        <color theme="1"/>
        <rFont val="David"/>
        <family val="2"/>
        <charset val="177"/>
      </rPr>
      <t xml:space="preserve"> אם נתון </t>
    </r>
    <r>
      <rPr>
        <u/>
        <sz val="12"/>
        <color theme="1"/>
        <rFont val="David"/>
        <family val="2"/>
        <charset val="177"/>
      </rPr>
      <t>שהריבית האפקטיבית השנתית היא 9.5%</t>
    </r>
    <r>
      <rPr>
        <sz val="12"/>
        <color theme="1"/>
        <rFont val="David"/>
        <family val="2"/>
        <charset val="177"/>
      </rPr>
      <t xml:space="preserve"> (תשובה: 0.7592%)</t>
    </r>
  </si>
  <si>
    <r>
      <rPr>
        <b/>
        <sz val="12"/>
        <color rgb="FFFF0000"/>
        <rFont val="David"/>
        <family val="2"/>
        <charset val="177"/>
      </rPr>
      <t>הואיל והריבית הנתונה אפקטיבית</t>
    </r>
    <r>
      <rPr>
        <b/>
        <sz val="12"/>
        <color theme="1"/>
        <rFont val="David"/>
        <family val="2"/>
        <charset val="177"/>
      </rPr>
      <t>, ולא נקובה, כל התאמה של תקופתה תתבצע עם מעריך חזקה מתאים בלבד:</t>
    </r>
  </si>
  <si>
    <t>אפקטיבית נתונה</t>
  </si>
  <si>
    <r>
      <rPr>
        <b/>
        <sz val="12"/>
        <color rgb="FF7030A0"/>
        <rFont val="David"/>
        <family val="2"/>
        <charset val="177"/>
      </rPr>
      <t xml:space="preserve">re = (1 + r)^(m) - 1 </t>
    </r>
    <r>
      <rPr>
        <sz val="12"/>
        <color theme="1"/>
        <rFont val="David"/>
        <family val="2"/>
        <charset val="177"/>
      </rPr>
      <t xml:space="preserve">= (1 + 9.5%)^(1/12) - 1 = </t>
    </r>
    <r>
      <rPr>
        <b/>
        <sz val="12"/>
        <color theme="1"/>
        <rFont val="David"/>
        <family val="2"/>
        <charset val="177"/>
      </rPr>
      <t>0.7592%</t>
    </r>
  </si>
  <si>
    <t>כמה תקופות נתונות נכנסות בנדרשת</t>
  </si>
  <si>
    <t>אפקטיבית לתקופה הנדרשת, חודש</t>
  </si>
  <si>
    <r>
      <t xml:space="preserve">מבחינת היגיון: אם נתונה ריבית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 לתקופה ארוכה (למשל: שנה)</t>
    </r>
  </si>
  <si>
    <t>ואני רוצה להמיר אותה לאפקטיבית קצרה (למשל, חודש)</t>
  </si>
  <si>
    <t>ארצה להציב במעריך שבר: חלק התקופה שאני רוצה. כאן: 1/12, כי אני רוצה חודש מתוך שנה.</t>
  </si>
  <si>
    <t xml:space="preserve">200,000 * (1 + 9%) = </t>
  </si>
  <si>
    <t>קרן משפטית - הסכום הנתון</t>
  </si>
  <si>
    <t>מחזיר בסוף</t>
  </si>
  <si>
    <t>ניכוי מראש - לפי 1.5% מ-200,000</t>
  </si>
  <si>
    <t>מקבל בהתחלה</t>
  </si>
  <si>
    <t>נטו</t>
  </si>
  <si>
    <t>כאשר ישנה עמלת הקצאת אשראי בתחילת התקופה, הסכום נטו בזמן 0 יקטן, אך התשלום בתום</t>
  </si>
  <si>
    <t xml:space="preserve">התקופה יישען על הקרן המקורית (ללא ניכוי עמלת ההקצאה). </t>
  </si>
  <si>
    <t xml:space="preserve">re = Pt/P0 - 1 = </t>
  </si>
  <si>
    <t>תת נושא: ריבית מראש ובחירה בין חלופות</t>
  </si>
  <si>
    <t>שי שוקל לרכוש מחשב Macbook חדש, הואיל ועל הקודם שפך יין בליל הסדר. עלות המקבוק היא 4,000 ש״ח, ואת כל הרכישה</t>
  </si>
  <si>
    <t>מתכנן שי לממן בהלוואה. הוא פנה לשני בנקים, שסיפקו לו 2 הצעות הלוואה שונות, כל אחת מהן לשנה, כדלקמן:</t>
  </si>
  <si>
    <t>הלוואה 1:</t>
  </si>
  <si>
    <t>נושאת ריבית שנתית נקובה בשיעור 6% המחושבת כל חודש ומשולמת בעוד שנה, כאשר במועד נטילת ההלוואה</t>
  </si>
  <si>
    <t>נדרש לשלם עמלת עריכת מסמכים בשיעור 2% מסכום ההלוואה.</t>
  </si>
  <si>
    <t>הלוואה 2:</t>
  </si>
  <si>
    <t>נושאת ריבית שנתית נקובה בשיעור 9% המחושבת ומשולמת פעם אחת, בתום השנה. ההלוואה פטורה מעמלות</t>
  </si>
  <si>
    <t xml:space="preserve">עריכות מסמכים וניכויים. </t>
  </si>
  <si>
    <t>פתרון</t>
  </si>
  <si>
    <t>כאשר המטרה היא לבחור בין חלופות הלוואה, אחד מהקריטריונים הברורים לדירוג הוא הריבית האפקטיבית; ככלל - נשאף</t>
  </si>
  <si>
    <t>תמיד ליטול את ההלוואה הנושאת את הריבית האפקטיבית הנמוכה ביותר.</t>
  </si>
  <si>
    <t>שילוב של ריבית דריבית (ריבית נקובה שנתית המחושבת כל חודש) וגם ריבית מראש / ניכוי מראש (עמלת</t>
  </si>
  <si>
    <r>
      <t>עריכת מסמכים) - 6%</t>
    </r>
    <r>
      <rPr>
        <b/>
        <sz val="11"/>
        <color rgb="FFFF0000"/>
        <rFont val="David"/>
        <family val="2"/>
        <charset val="177"/>
      </rPr>
      <t xml:space="preserve"> נקובה שנתית, מחושבת כל חודש, משולמת בסוף + 2% עמלה לתשלום מיידי</t>
    </r>
  </si>
  <si>
    <r>
      <rPr>
        <b/>
        <sz val="11"/>
        <color rgb="FFFF0000"/>
        <rFont val="David"/>
        <family val="2"/>
        <charset val="177"/>
      </rPr>
      <t>עליכם לחשב את הריבית האפקטיבית השנתית</t>
    </r>
    <r>
      <rPr>
        <b/>
        <sz val="11"/>
        <color theme="1"/>
        <rFont val="David"/>
        <family val="2"/>
        <charset val="177"/>
      </rPr>
      <t xml:space="preserve"> (כדי לדעת אם היא טובה יותר מהלוואה 2):</t>
    </r>
  </si>
  <si>
    <r>
      <t xml:space="preserve">re = </t>
    </r>
    <r>
      <rPr>
        <b/>
        <sz val="11"/>
        <color rgb="FFFF0000"/>
        <rFont val="David"/>
        <family val="2"/>
        <charset val="177"/>
      </rPr>
      <t>Pt</t>
    </r>
    <r>
      <rPr>
        <b/>
        <sz val="11"/>
        <color theme="1"/>
        <rFont val="David"/>
        <family val="2"/>
        <charset val="177"/>
      </rPr>
      <t xml:space="preserve">/P0 - 1 </t>
    </r>
  </si>
  <si>
    <t>סכום ההלוואה 4,000 ש״ח.</t>
  </si>
  <si>
    <t>=4,000 * (1 + 6%/12)^12</t>
  </si>
  <si>
    <t>עמלה</t>
  </si>
  <si>
    <t>סכום נטו</t>
  </si>
  <si>
    <t>הסבר נוסף - מדוע טכניקת הפתרון ה״מורכבת״ הזו היא זו שליוותה אותנו, ולא היישום הפשוט של הנוסחה:</t>
  </si>
  <si>
    <t>התשובה היא - שהנוסחה לעיל מתאימה למצבים שבהם קיימת ריבית נקובה המחושבת כריבית דריבית (מספר פעמים)</t>
  </si>
  <si>
    <r>
      <t xml:space="preserve">אבל </t>
    </r>
    <r>
      <rPr>
        <u/>
        <sz val="11"/>
        <color theme="1"/>
        <rFont val="David"/>
        <family val="2"/>
        <charset val="177"/>
      </rPr>
      <t>ללא</t>
    </r>
    <r>
      <rPr>
        <sz val="11"/>
        <color theme="1"/>
        <rFont val="David"/>
        <family val="2"/>
        <charset val="177"/>
      </rPr>
      <t xml:space="preserve"> ריבית מראש / ניכוי מראש. כאשר ישנו ניכוי או תשלום מיידי במועד העסקה, אנו פועלים בטכניקה המחשבת </t>
    </r>
  </si>
  <si>
    <t>את תזרימי המזומנים בתחילת העסקה ובסיומה, ורק מכך גוזרים את הריבית האפקטיבית.</t>
  </si>
  <si>
    <t xml:space="preserve">בהלוואות הנפרעות בתשלום אחד, תמי דניתן לחלץ את הריבית האפקטיבית לפי היחס בין התשלום בתום התקופה, </t>
  </si>
  <si>
    <t>לבין התקבול נטו בתחילתה, וכל זה - פחות אחת.</t>
  </si>
  <si>
    <r>
      <t>re = (</t>
    </r>
    <r>
      <rPr>
        <b/>
        <sz val="11"/>
        <color rgb="FFFF0000"/>
        <rFont val="David"/>
        <family val="2"/>
        <charset val="177"/>
      </rPr>
      <t>4,247</t>
    </r>
    <r>
      <rPr>
        <sz val="11"/>
        <color theme="1"/>
        <rFont val="David"/>
        <family val="2"/>
        <charset val="177"/>
      </rPr>
      <t xml:space="preserve"> / </t>
    </r>
    <r>
      <rPr>
        <b/>
        <sz val="11"/>
        <color rgb="FFFF0000"/>
        <rFont val="David"/>
        <family val="2"/>
        <charset val="177"/>
      </rPr>
      <t>3,920</t>
    </r>
    <r>
      <rPr>
        <sz val="11"/>
        <color theme="1"/>
        <rFont val="David"/>
        <family val="2"/>
        <charset val="177"/>
      </rPr>
      <t xml:space="preserve">) - 1 = </t>
    </r>
  </si>
  <si>
    <t>הלוואה 2: בהלוואה זו, הריבית השנתית הנקובה בשיעור 9% כנתון מחושבת פעם אחת ויחידה (לכן אין ריבית דריבית), ובנוסף</t>
  </si>
  <si>
    <t>אין ניכויים מראש / עמלות מראש שמצדיקים יישום של ציר זמן. בשורה התחתונה - הריבית הנקובה זהה לריבית האפקטיבית</t>
  </si>
  <si>
    <t>והיא:</t>
  </si>
  <si>
    <r>
      <t xml:space="preserve">הואיל ומדובר בהלוואה שאנו מתכננים ליטול, תועדף כאמור החלופה הנושאת ריבית אפקטיבית מינימלית - </t>
    </r>
    <r>
      <rPr>
        <b/>
        <sz val="11"/>
        <color theme="1"/>
        <rFont val="David"/>
        <family val="2"/>
        <charset val="177"/>
      </rPr>
      <t>הלוואה 1</t>
    </r>
    <r>
      <rPr>
        <sz val="11"/>
        <color theme="1"/>
        <rFont val="David"/>
        <family val="2"/>
        <charset val="177"/>
      </rPr>
      <t xml:space="preserve">. </t>
    </r>
  </si>
  <si>
    <t xml:space="preserve">קובי שוקל לרכוש מחשב Macbook חדש. עלות מחשב המקבוק במזומן היא 4,000 ש״ח, וניתן לשלם בעדו ב-40 תשלומים </t>
  </si>
  <si>
    <t>חודשיים שווים בסך 100 ש״ח ״ללא ריבית״. יחד עם זאת, נמסר לך מחברך הטוב מקס-טק שאם תתמקח ותסכים לשלם</t>
  </si>
  <si>
    <t xml:space="preserve">במזומן, יסכימו למחיר של 3,800 ש״ח. </t>
  </si>
  <si>
    <t>לכאורה, עלות המחשב היא 4,000 וזהו ״סכום ההלוואה״. בפועל, זו שטות גמורה. ומדוע? משום שאת המחשב, כנתון, ניתן</t>
  </si>
  <si>
    <t>לרכוש היום ב-3,800 במזומן.</t>
  </si>
  <si>
    <t xml:space="preserve">בעסקאות רבות בעולם האמיתי זהו פשרו של מיקוח; המחיר האמיתי בעסקה - מהווה את ״קרן ההלוואה״ לצרכינו. </t>
  </si>
  <si>
    <r>
      <t xml:space="preserve">במלים אחרות: </t>
    </r>
    <r>
      <rPr>
        <u/>
        <sz val="11"/>
        <color rgb="FF0070C0"/>
        <rFont val="David"/>
        <family val="2"/>
        <charset val="177"/>
      </rPr>
      <t>הנתון בסך 4,000 ש״ח - לא רלוונטי.</t>
    </r>
    <r>
      <rPr>
        <sz val="11"/>
        <color theme="1"/>
        <rFont val="David"/>
        <family val="2"/>
        <charset val="177"/>
      </rPr>
      <t xml:space="preserve"> </t>
    </r>
  </si>
  <si>
    <t>כעת, הסוגיה הבאה העולה מהשאלה היא - כיצד נעסוק בחישובי ריבית כאשר לא מדובר בעסקה ״פשוטה״ הנפרעת בתשלום</t>
  </si>
  <si>
    <t>אחד, ומעבר לזה, אף אחד לא ציין בפנינו נתונים של ריבית באחוזים:</t>
  </si>
  <si>
    <t xml:space="preserve">שווי מוצר ״במזומן״ (3,800) הוא הערך הנוכחי של סדרת התשלומים המתבצעת עבורו. וחילוץ ריבית מערכי סדרה נבצע </t>
  </si>
  <si>
    <t>עם נוסחה אקסלית (לא מתמטית).</t>
  </si>
  <si>
    <t>ריבית אפקטיבית לחודש (*)</t>
  </si>
  <si>
    <t>מחיר קטלוגי למוצר: 4,000</t>
  </si>
  <si>
    <t>כנתון: 40 תשלומים</t>
  </si>
  <si>
    <t>מחיר בפועל בעסקת מזומן מיידית: 3,800</t>
  </si>
  <si>
    <t>מקבלים היום מחשב</t>
  </si>
  <si>
    <t>גובה כל תשלום בהסדר תשלומים: 100</t>
  </si>
  <si>
    <t>סכום תשלום חודשי</t>
  </si>
  <si>
    <t>מספר התשלומים בהסדר תשלומים: 40</t>
  </si>
  <si>
    <t>אין סכום חד״פ בתום תקופה</t>
  </si>
  <si>
    <t>כאשר מחלצים ריבית מסדרה באמצעות נוסחת rate, תקופת הריבית המחולצת תמיד ולעולם זהה</t>
  </si>
  <si>
    <t>לפרק הזמן בין תשלומים בסדרה. כאן, חילצנו ריבית בהסדר תשלומים חודשיים, לכן הריבית האפקטיבית</t>
  </si>
  <si>
    <t>שחולצה היא לחודש.</t>
  </si>
  <si>
    <r>
      <t xml:space="preserve">אלא שלצערי דרשו את הריבית האפקטיבית </t>
    </r>
    <r>
      <rPr>
        <b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>:</t>
    </r>
  </si>
  <si>
    <t xml:space="preserve">(1 + 0.2526%)^12 - 1 = </t>
  </si>
  <si>
    <t xml:space="preserve">re (שנה) = </t>
  </si>
  <si>
    <t xml:space="preserve">מה עשית יא שייקוני? התשובה: הואיל והריבית המחוצת ב-rate באקסל היא בהגדרה אפקטיבית, אזי המרתה לתקופה אחרת - </t>
  </si>
  <si>
    <t>כאן המרנו מאפקטיבית חודשית לאפקטיבית שנתית - מבוצעת באמצעות מעריך חזקה מתאים בלבד. זכרו, שהמרה מריבית</t>
  </si>
  <si>
    <t>אפקטיבית לתקופה מסוימת לאפקטיבית לתקופה אחרת - לעולם לא תבוצע ע״י כפל או חילוק, אלא רק באמצעות חזקה.</t>
  </si>
  <si>
    <t xml:space="preserve">חברת ״מגה לבית״ מציעה למכירה אייפון 13 פרו מקס 1 טרה אחסון, ומציגה באתר מחיר כולל של 7,000 ש״ח. היא מוכנה </t>
  </si>
  <si>
    <t xml:space="preserve">למכור אותו ב-36 תשלומים חודשיים שווים בסך 195 ש״ח כל אחד. מבירור שערכת, אייפון זהה בתכונותיו עולה 5,829 ש״ח. </t>
  </si>
  <si>
    <t>מהי הריבית האפקטיבית השנתית המגולמת בעסקת ״מגה לבית״? האם אתם עפים על זה?</t>
  </si>
  <si>
    <t>ברמת הגישה וההתייחסות - השאלה מאד דומה לקודמת.</t>
  </si>
  <si>
    <t>כנתון: 36 תשלומים</t>
  </si>
  <si>
    <t>מקבלים היום אייפון בשווי</t>
  </si>
  <si>
    <t>נמיר את הריבית למונחים שנתיים:</t>
  </si>
  <si>
    <t xml:space="preserve">(1 + 1.0416%)^12 - 1 = </t>
  </si>
  <si>
    <t>תת נושא: פרשנות לסוגי ריביות בתחשיבים ובחירה בין חלופות</t>
  </si>
  <si>
    <t>נאוה שוקלת לרכוש מקציף חלב יוקרתי בעלות של 10,000 ש״ח ולשם כך מתכננת לקחת הלוואה. בשונה משי (בשאלה 1)</t>
  </si>
  <si>
    <t>היא חרוצה, וערכה סקר שוק מקיף הרבה יותר מזה של שי, לטובת בדיקת סוגי ההלוואות שתוכל ליטול לטובת המימון.</t>
  </si>
  <si>
    <t>בכל ההלוואות, הקרן והריבית הצבורה תפרענה בתשלום אחד בתום ההלוואה, ובכולן ההלוואה ל-8 שנים. להלן נתונים</t>
  </si>
  <si>
    <t>בדבר החלופות:</t>
  </si>
  <si>
    <t>חלופה א:</t>
  </si>
  <si>
    <t>הלוואה הנושאת ריבית שנתית בשיעור 7%</t>
  </si>
  <si>
    <t>חלופה ב:</t>
  </si>
  <si>
    <t>הלוואה הנושאת ריבית חצי שנתית בשיעור 3.4%</t>
  </si>
  <si>
    <t>חלופה ג:</t>
  </si>
  <si>
    <t>הלוואה הנושאת ריבית שנתית נקובה בשיעור 6.8% המחושבת על בסיס חודשי</t>
  </si>
  <si>
    <t>חלופה ד:</t>
  </si>
  <si>
    <t>הלוואה הנושאת ריבית רבעונית בשיעור 2%</t>
  </si>
  <si>
    <t>חלופה ה:</t>
  </si>
  <si>
    <t>הלוואה הנושאת ריבית שנתית נקובה בשיעור 6.5% המחושבת על בסיס רבעוני</t>
  </si>
  <si>
    <t>חלופה ו:</t>
  </si>
  <si>
    <t>הלוואה הנושאת ריבית שנתית נקובה בשיעור 6% המחושבת יומית (הניחו 365 יום בשנה)</t>
  </si>
  <si>
    <t>נדרש: איזו חלופה תועדף על ידי נאוה?</t>
  </si>
  <si>
    <t>הפעם, חוזרים לעולם של עסקאות הנפרעות בתשלום אחד (פתרון עם נוסחאות או ציר זמן - ולא בנוסחאות אקסל), ובוחרים</t>
  </si>
  <si>
    <t>בחלופה שהריבית האפקטיבית בה היא הנמוכה ביותר.</t>
  </si>
  <si>
    <t xml:space="preserve">בשאלה ספציפית זו, אין כל דיון, באף חלופה, בניכויים מראש / עמלות מיידיות ולכן כל הפתרונות יבוצעו עם נוסחה. </t>
  </si>
  <si>
    <t xml:space="preserve">נשאלת השאלה: איזה סוג ריבית זו? נקובה / אפקטיבית? כברירת מחדל - אפקטיבית. </t>
  </si>
  <si>
    <t xml:space="preserve">הלוואה הנושאת ריבית חצי שנתית בשיעור 3.4%. </t>
  </si>
  <si>
    <t xml:space="preserve">הריבית אפקטיבית כברירת מחדל, אלא שלשם השוואה בין חלופות ההלוואה, נרצה לתקנן את הריבית </t>
  </si>
  <si>
    <t xml:space="preserve">בכל החלופות לאותה תקופה (שנה).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</si>
  <si>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=(1+3.4%)^2 - 1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</si>
  <si>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=(1+6.8%/12)^12 - 1 </t>
    </r>
  </si>
  <si>
    <t>הואיל והריבית הנתונה איננה מופיעה לצד המילה ״נקובה״, המשמעות היא כברירת מחדל שהריבית היא</t>
  </si>
  <si>
    <t>כבר אפקטיבית. ובכדי להמיר ריבית אפקטיבית במקרה זה - מרבעון לשנה, נרצה להשתמש בחזקה מתאימה.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</si>
  <si>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=(1+2%)^4 - 1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</si>
  <si>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=(1+6.5%/4)^4 - 1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</si>
  <si>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=(1+6%/365)^365 - 1 </t>
    </r>
  </si>
  <si>
    <t>חלופה ו היא זו הנושאת את הריבית האפקטיבית הנמוכה ביותר. הואיל ומדובר בהלוואה היא תבחר.</t>
  </si>
  <si>
    <t>תת נושא: בחירה בין חלופות והמשמעות של זיכוי בתום תקופה</t>
  </si>
  <si>
    <t>שירה שוקלת ליטול הלוואה לחגיגות בת המצווה. סכום ההלוואה הנו 940,000 ש״ח. להלן נתוני המסלולים האפשריים לנטילת</t>
  </si>
  <si>
    <t>ההלוואה, שתקופתה שנה אחת:</t>
  </si>
  <si>
    <t xml:space="preserve">חלופה א: </t>
  </si>
  <si>
    <t>ריבית שנתית בשיעור 24% המשולמת במועד סילוק (סיום) ההלוואה.</t>
  </si>
  <si>
    <t xml:space="preserve">חלופה ב: </t>
  </si>
  <si>
    <t>ריבית שנתית נקובה בשיעור 23% המחושבת כל רבעון.</t>
  </si>
  <si>
    <t>ריבית שנתית נקובה בשיעור 22% המשולמת מראש.</t>
  </si>
  <si>
    <t>ריבית שנתית נקובה בשיעור 22% המחושבת כל חודש.</t>
  </si>
  <si>
    <t>ריבית שנתית נקובה בשיעור 25% המשולמת מראש אך בנוסף ביום סיום ההלוואה ניתן מענק (זיכוי) בשיעור 2%.</t>
  </si>
  <si>
    <t>נדרש: איזו חלופה תועדף על ידי שירה?</t>
  </si>
  <si>
    <t xml:space="preserve">(1 + 23%/4)^4 - 1 = </t>
  </si>
  <si>
    <t>ג</t>
  </si>
  <si>
    <t xml:space="preserve">940,000/(940,000-22%*940,000) - 1 = </t>
  </si>
  <si>
    <t>ד</t>
  </si>
  <si>
    <t xml:space="preserve">(1 + 22%/12)^12 - 1 = </t>
  </si>
  <si>
    <t>ה</t>
  </si>
  <si>
    <r>
      <rPr>
        <b/>
        <sz val="11"/>
        <color rgb="FF0070C0"/>
        <rFont val="David"/>
        <family val="2"/>
        <charset val="177"/>
      </rPr>
      <t>(940,000 - 2% * 940,000)</t>
    </r>
    <r>
      <rPr>
        <sz val="11"/>
        <color theme="1"/>
        <rFont val="David"/>
        <family val="2"/>
        <charset val="177"/>
      </rPr>
      <t>/</t>
    </r>
    <r>
      <rPr>
        <b/>
        <sz val="11"/>
        <color rgb="FFFF0000"/>
        <rFont val="David"/>
        <family val="2"/>
        <charset val="177"/>
      </rPr>
      <t>(940,000 - 25% * 940,000)</t>
    </r>
    <r>
      <rPr>
        <sz val="11"/>
        <color theme="1"/>
        <rFont val="David"/>
        <family val="2"/>
        <charset val="177"/>
      </rPr>
      <t xml:space="preserve">  - 1= </t>
    </r>
  </si>
  <si>
    <t>חלופה א היא הטובה ביותר.</t>
  </si>
  <si>
    <t>הסבר לסעיף ה:</t>
  </si>
  <si>
    <t>קרן משפטית בחוזה</t>
  </si>
  <si>
    <t>,=2% * 940,000</t>
  </si>
  <si>
    <t>ניכוי מיידי מראש 25%</t>
  </si>
  <si>
    <t>תזרים נטו זמן 0</t>
  </si>
  <si>
    <r>
      <rPr>
        <b/>
        <sz val="11"/>
        <color rgb="FF0070C0"/>
        <rFont val="David"/>
        <family val="2"/>
        <charset val="177"/>
      </rPr>
      <t>921,200</t>
    </r>
    <r>
      <rPr>
        <sz val="11"/>
        <color theme="1"/>
        <rFont val="David"/>
        <family val="2"/>
        <charset val="177"/>
      </rPr>
      <t xml:space="preserve"> / </t>
    </r>
    <r>
      <rPr>
        <sz val="11"/>
        <color rgb="FFFF0000"/>
        <rFont val="David"/>
        <family val="2"/>
        <charset val="177"/>
      </rPr>
      <t>705,000</t>
    </r>
    <r>
      <rPr>
        <sz val="11"/>
        <color theme="1"/>
        <rFont val="David"/>
        <family val="2"/>
        <charset val="177"/>
      </rPr>
      <t xml:space="preserve"> - 1 = 30.667%</t>
    </r>
  </si>
  <si>
    <t>תת נושא: יישומי ריבית לבחירה בין חלופות חסכון / השקעה (ולא הלוואה)</t>
  </si>
  <si>
    <t xml:space="preserve">אורית מרגלית שוקלת לפתוח תכנית חסכון לטובת השקעה לטובת בנה -  צור.  לשם כך תפקיד סכום חד פעמי משמעותי היום, </t>
  </si>
  <si>
    <t>לתקופה של 10 שנים. לאחר סקר שוק שביצעה בבנקים השונים ,הוצגו בפניה החלופות הבאות:</t>
  </si>
  <si>
    <t>תכנית הנושאת ריבית שנתית נקובה בשיעור 4% המחושבת חודשית</t>
  </si>
  <si>
    <t>תכנית הנושאת ריבית שנתית בשיעור 4.4%</t>
  </si>
  <si>
    <t>תכנית הנושאת ריבית חצי שנתית בשיעור 2%</t>
  </si>
  <si>
    <t>תכנית הנושאת ריבית רבעונית בשיעור 1%</t>
  </si>
  <si>
    <t>תכנית הנושאת ריבית שנתית נקובה בשיעור 3.5% המחושבת יומית (הניחו 360 יום בשנה)</t>
  </si>
  <si>
    <t>נדרש: איזו חלופה תועדף על ידי אורית מרגלית?</t>
  </si>
  <si>
    <t xml:space="preserve">(1 + 4% / 12)^12 - 1 = </t>
  </si>
  <si>
    <t xml:space="preserve">(1 + 2%)^2 - 1 = </t>
  </si>
  <si>
    <t xml:space="preserve">(1 + 1%)^4 - 1 = </t>
  </si>
  <si>
    <t xml:space="preserve">(1 + 3.5%/360)^360 - 1 = </t>
  </si>
  <si>
    <t xml:space="preserve">הואיל ומדובר בחסכון / השקעה ולא בהלוואה נרצה לקבל את הריבית (התשואה) הגבוהה ביותר ולכן יש להעדיף את חלופה ב. </t>
  </si>
  <si>
    <t>שאלה 12</t>
  </si>
  <si>
    <t>תת נושא: ריבית המחושבת פעם בחודשיים</t>
  </si>
  <si>
    <t xml:space="preserve">סניקי פק שוקל לרכוש מקרר בעלות של 15,000 ש״ח ולשם כך מתכוון ליטול הלוואה לשנה. הבנק הציע לו הלוואה בריבית חצי </t>
  </si>
  <si>
    <t>שנתית נקובה בשיעור 3% המחושבת כל חודשיים, ובמקביל דורש תשלום עמלת עריכת מסמכים בשיעור 1% מסכום ההלוואה</t>
  </si>
  <si>
    <t xml:space="preserve">אשר ישולם באופן מיידי. </t>
  </si>
  <si>
    <t>נדרש: מהו שיעור הריבית האפקטיבית המגולם בהלוואה?</t>
  </si>
  <si>
    <t xml:space="preserve">[15,000 * (1 + 3%/3)^6] / (15,000 * 0.99) - 1 =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</si>
  <si>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=15,000 * (1 + 3%/3)^6 </t>
    </r>
  </si>
  <si>
    <t>בניכוי מראש</t>
  </si>
  <si>
    <t xml:space="preserve">15,923 / 14,850 - 1 = </t>
  </si>
  <si>
    <t>הסבר: התקבול ההתחלתי מורכב מ-15,000 ש״ח בניכוי עמלה מראש של 1% שמובילה לסכום נטו של 14,850.</t>
  </si>
  <si>
    <t>מבחינת התשלום בתום התקופה, הוא מורכב מ-15,000, שאותו כופלים באחת ועוד ריבית של 3%, הואיל והריבית</t>
  </si>
  <si>
    <t>בשיעור 3% היא לחצי שנה, ומחושבת כל חודשיים, צריך לחלק ב-3 (מדוע? משום שישנם 3 מופעים של חודשיים</t>
  </si>
  <si>
    <t>בתוך תקופת הריבית הנקובה הנתונה שהיא חצי שנה), את כל זה מעלים בחזקת 6 כדי לתקנן את התקופה לשנה</t>
  </si>
  <si>
    <t>שלמה, ולקבל את התשלום הכולל בתום התקופה.</t>
  </si>
  <si>
    <t xml:space="preserve">היחס בין התשלום הכולל בתום התקופה לתקבול נטו בתחילתה פחות אחת מוביל לריבית האפקטיבית.  </t>
  </si>
  <si>
    <t>רקע וחיבור לאחור:</t>
  </si>
  <si>
    <t>הבסיס העקרוני לחישובי הלוואות נשען על ההבנה שרוב העסקאות בהלוואות אינן ״נפרעות בתשלום אחד״.</t>
  </si>
  <si>
    <t>ההלוואות נפרעות בתשלומים בדרך כלל, ואופן ביצוע התשלומים נשען על מהות ההסדר מול הבנק, שמצידו</t>
  </si>
  <si>
    <t>כרוך בכושר ההחזר של הלווה.</t>
  </si>
  <si>
    <t>בשלב ראשון, דיוננו בהלוואות יתבסס על חישובים טכניים, תזרימיים, של הסכומים המשולמים בגין הלוואות,</t>
  </si>
  <si>
    <t>ואשר נכללים ב״לוחות סילוקין״ של הלוואות.</t>
  </si>
  <si>
    <t>רגע שי - עצור - מהו ״לוח סילוקין״ להלוואה?</t>
  </si>
  <si>
    <t xml:space="preserve">לוח סילוקין להלוואה הוא בבחינת טבלה המציגה את מספר התשלום ו/או עיתויו, לצד התשלום על חשבון </t>
  </si>
  <si>
    <t>הקרן הכלול בכל החזר, התשלום על ידי ריבית הכלול בכל החזר, סך התשלום הכולל (המורכב כמובן מסיכום</t>
  </si>
  <si>
    <t xml:space="preserve">התשלום על חשבון הריבית בתוספת התשלום על חשבון הקרן) וכמובן מהיתרה לאחר ביצוע התשלום. </t>
  </si>
  <si>
    <t>לוח הסילוקין חייב להסתיים ביתרת ״אפס״ המעידה על כך שסכום ההלוואה כולל הריבית התקופתית סולק</t>
  </si>
  <si>
    <t xml:space="preserve">במלואו. </t>
  </si>
  <si>
    <t>מהם טיפוסי לוחות הסילוקין (סוגי החישובים הנפוצים להחזרי הלוואות)?</t>
  </si>
  <si>
    <t>כמו בכל הקשר עסקי אחר - Never say never- כל הסדר וכל אופן חישוב לגיטימי. יחד עם זאת, בפרקטיקה הבנקאית</t>
  </si>
  <si>
    <t>והעסקית, מקובלת רשימה סגורה של סוגי הלוואות:</t>
  </si>
  <si>
    <t>א. הלוואות ״בלון״ - אלו הלוואות פשוטות, שקרן ההלוואה ו/או הריבית בגינה מסולקות בתשלום אחד במועד פרעונה.</t>
  </si>
  <si>
    <t>הלוואות אלו נפוצות פחות, למעט יישומים ספציפיים (כגון הלוואות גישור שאנו נוטלים עד למועד המשיכה של קרן</t>
  </si>
  <si>
    <t>השתלמות ו/או פירעון חסכון וכיו״ב). חישובי הלוואות אלו מבוצעים בבסיסם על בסיס חישובי FV פשוטים המגלמים</t>
  </si>
  <si>
    <t>את הקרן והריבית הנצברת למועד הסילוק.</t>
  </si>
  <si>
    <t xml:space="preserve">ב. הלוואות ״שפיצר״ - אלו ההלוואות הנפוצות ביותר. במסגרת הלוואת שפיצר, התשלום התקופתי בגין ההלוואה </t>
  </si>
  <si>
    <t xml:space="preserve">קבוע, והוא מספק הן לתשלום ריבית והן לתשלום חלק מהקרן. חשוב להדגיש, התשלום הכולל קבוע - אך כפי </t>
  </si>
  <si>
    <t>שנראה בהמשך, התמהיל של כל החזר / תשלום משתנה. ככל שמתקדמים לאורך חיי ההלוואה, הרכיב המשולם</t>
  </si>
  <si>
    <t xml:space="preserve">על חשבון הקרן בכל תשלום גדל, והרכיב המשולם על חשבון הריבית בכל תשלום קטן. </t>
  </si>
  <si>
    <t>ג. הלוואות ״קרן שווה״ או ״לוח סילוקין רגיל״ - הלוואות אלו פחות נפוצות ועדיין מקובלות במידה מסויימת. בהלוואות</t>
  </si>
  <si>
    <t>הנפרעות לפי לוח סילוקין זה, תחילה מחושב ההחזר התקופתי הקבוע על חשבון הקרן, והריבית מחושבת בכל תקופה</t>
  </si>
  <si>
    <t>מחדש על בסיס יתרת הקרן הבלתי מסולקת. חשוב להדגיש, שלמרות שההחזר על חשבון הקרן קבוע, ההחזר הכולל</t>
  </si>
  <si>
    <t>איננו קבוע אלא הולך וקטן, לאור הקיטון התקופתי בקרן, לאחר כל תשלום. ותשלום, המהווה את הבסיס לחישוב</t>
  </si>
  <si>
    <t>הריבית בתקופה העוקבת.</t>
  </si>
  <si>
    <t xml:space="preserve">ד. הלוואות ״גרייס״: במסגרת הלוואות אלו, ההחזרים הראשוניים נדחים תקופה מסוימת עד לתחילתם. הריבית </t>
  </si>
  <si>
    <t>כמובן נצברת עד למועד תחילת ההחזר. מקובל למשל בהלוואה מאושרת ברגע של בנק הפועלים (שמאפשרת דחייה</t>
  </si>
  <si>
    <t>בהחזרים עד ל-3 חודשים ממועד נטילת ההלוואה). מתאים ללווה החווה מצוקה תזרימית משמעותית בטווח הקצר,</t>
  </si>
  <si>
    <t>ומוכן לשאת בתשלומי הריבית העודפים הנובעים מהגרייס.</t>
  </si>
  <si>
    <t>ה. הלוואות ״משולבות״: הכוללות לוח סילוקין רגיל / שפיצר, בתוספת רכיבי גרייס ו/או בלון חלקי בתום התקופה.</t>
  </si>
  <si>
    <t xml:space="preserve">הלוואות אלו מקבלות משקל פחות בקורס אך נציג הדגמתן. </t>
  </si>
  <si>
    <t>זמן/מס״ד</t>
  </si>
  <si>
    <t>יתרת פתיחה</t>
  </si>
  <si>
    <t>תשלום קרן</t>
  </si>
  <si>
    <t>תשלום ריבית</t>
  </si>
  <si>
    <t>סך התשלום</t>
  </si>
  <si>
    <t>יתרת סגירה</t>
  </si>
  <si>
    <t>שאלה 1 - לוח סילוקין ״שפיצר״ - חישוב ידני / לוגי</t>
  </si>
  <si>
    <t>תהליך חישוב ערכי לוח שפיצר הוא כדלקמן:</t>
  </si>
  <si>
    <t xml:space="preserve">א. את התשלום התקופתי הכולל (כאן - החודשי) - מחשבים באמצעות פונקציית PMT. </t>
  </si>
  <si>
    <t xml:space="preserve">ב. בכל תקופה בנפרד - מחשבים את תשלום הריבית - לפי יתרת פתיחה מוכפלת בריבית באחוזים. </t>
  </si>
  <si>
    <t xml:space="preserve">ג. התשלום התקופתי על חשבון הקרן - לפי ההפרש בין התשלום הכולל PMT לבין תשלום הריבית. </t>
  </si>
  <si>
    <t>ד. יתרת הסגירה - מורכבת מיתרת הפתיחה בניכוי התשלום התקופתי על חשבון הקרן.</t>
  </si>
  <si>
    <t>שלב א - חישוב ה PMT</t>
  </si>
  <si>
    <t>ריבית לתקופת תשלום (כאן: חודש)</t>
  </si>
  <si>
    <t>מספר התשלומים (החזרי הלוואה)</t>
  </si>
  <si>
    <t>סכום ההלוואה (בסימן חיובי)</t>
  </si>
  <si>
    <t>תשלום חודשי קבוע</t>
  </si>
  <si>
    <t xml:space="preserve">אין כאן תשלום / תקבול חד פעמי </t>
  </si>
  <si>
    <t>כל יתר השלבים (ב, ג, ד) - עריכת הלוח השלם:</t>
  </si>
  <si>
    <t>PRN</t>
  </si>
  <si>
    <t xml:space="preserve"> = INT    +</t>
  </si>
  <si>
    <t>PMT</t>
  </si>
  <si>
    <t>BAL</t>
  </si>
  <si>
    <t>משה נוטל היום הלוואה לרכישת Macbook Pro חדש. סכום ההלוואה 7,500 ש״ח.</t>
  </si>
  <si>
    <t>ההלוואה תוחזר בתשלומים חודשיים שווים של קרן וריבית (לוח שפיצר). הריבית החודשית</t>
  </si>
  <si>
    <t>בהלוואה היא 0.8%. ההלוואה נפרעת במשך 10 שנים.</t>
  </si>
  <si>
    <t>א. מהו ההחזר החודשי הקבוע?</t>
  </si>
  <si>
    <t>הדרכה: פונקציית PMT</t>
  </si>
  <si>
    <t>ב. מהו ההחזר על חשבון הקרן (PRN) בתשלום ה-28?</t>
  </si>
  <si>
    <t>ג. מהו ההחזר על חשבון הריבית בתשלום ה-94?</t>
  </si>
  <si>
    <t>ד. מהי יתרת ההתחייבות של משה לאחר התשלום ה-33?</t>
  </si>
  <si>
    <t>הדרכה: פונקציית PV</t>
  </si>
  <si>
    <t>פתרון א - חישוב ה - PMT:</t>
  </si>
  <si>
    <t>ריבית לתקופת תשלום = ריבית חודשית</t>
  </si>
  <si>
    <t>התשלום החודשי הכולל הקבוע</t>
  </si>
  <si>
    <t>ברירת מחדל בשפיצר</t>
  </si>
  <si>
    <t>הריבית החודשית זהה:</t>
  </si>
  <si>
    <t>מספר התשלומים הכולל בהלוואה:</t>
  </si>
  <si>
    <t>סכום ההלוואה (הרגיל, המקורי)</t>
  </si>
  <si>
    <t>מספר התשלום הספציפי שעליו שואלים:</t>
  </si>
  <si>
    <t>per</t>
  </si>
  <si>
    <t>״חדש!!!״</t>
  </si>
  <si>
    <t>ppmt</t>
  </si>
  <si>
    <t>ipmt</t>
  </si>
  <si>
    <t>פתרון ד - חישוב יתרת ההלוואה (יתרת סגירה, BAL) לאחר התשלום ה-33, פונקציית PV:</t>
  </si>
  <si>
    <t>כאן: ההלוואה כוללת 120 תשלומים בסך הכל. המטרה היא לגלות מהי היתרה לאחר ש-33 תשלומים</t>
  </si>
  <si>
    <t>בוצעו. קרי, מס׳ התשלומים שנותר לביצוע:</t>
  </si>
  <si>
    <t xml:space="preserve">120 - 33 = </t>
  </si>
  <si>
    <t>ואם כך, באופן כללי, כאשר שאלה מבקשת נקודתית יתרת קרן לאחר תשלום ספציפי בשפיצר:</t>
  </si>
  <si>
    <t>שלב ראשון - חישוב ה - PMT ״כרגיל״:</t>
  </si>
  <si>
    <t>שלב שני - הנדרש - חישוב יתרת ההלוואה BAL לזמן 33, זמן שבו נותרו לביצוע עוד 87 תשלומים:</t>
  </si>
  <si>
    <t xml:space="preserve">זכרו: יתרת הלוואה / חוב תמיד משקפת את רכיב התשלומים ש*טרם* בוצע, ולכן יתרת ההתחייבות תקבע לפיו. </t>
  </si>
  <si>
    <t xml:space="preserve">בהגדרה, מדובר בערך שהוא ההפרש בין מספר התשלומים הכולל בהלוואה לבין מספר התשלומים שבוצעו עד </t>
  </si>
  <si>
    <t xml:space="preserve">למועד החישוב. </t>
  </si>
  <si>
    <t>ניתן לרכוש היום מכונה לחימום נקניקיות מחברת מחשבים בעלות של 189 ש״ח במזומן. הניחו כי החברה מציעה הלוואה</t>
  </si>
  <si>
    <t>ובכפוף לריבית שנתית נקובה בשיעור 8% המחושבת על בסיס חודשי. הציגו לוח סילוקין מלא ומפורט למכונת חימום</t>
  </si>
  <si>
    <t>הנקניקיות. יש לציין כי קהל היעד של המכונה כלל לא ברור, והמציג מעולם לא ראה מכונה כזו על השיש בבתי מגורים.</t>
  </si>
  <si>
    <t>סכום ההלוואה</t>
  </si>
  <si>
    <t>INT   +</t>
  </si>
  <si>
    <t>PMT    =</t>
  </si>
  <si>
    <t>הסברים מורחבים:</t>
  </si>
  <si>
    <t>תשלום הקרן התקופתי PRN בלוח סילוקין מסוג ״החזרי קרן שווים״ מחושב בתור הפרופורציה (היחס) הפשוט שבין</t>
  </si>
  <si>
    <t xml:space="preserve">סכום ההלוואה שכאן הנו 189 ש״ח, לבין מספר התשלומים שהנו 12. </t>
  </si>
  <si>
    <t>תשלום  הריבית התקופתית INT מבוצע על ידי מכפלת הריבית התקופתית (שכאן היא 12 / 8% משום שהריבית הנקובה</t>
  </si>
  <si>
    <t>השנתית 8% ומחושבת כל חודש) ביתרת הפתיחה של ההלוואה.</t>
  </si>
  <si>
    <t>התשלום התקופתי הכולל PMT מחושב על בסיס סיכום פשוט של תשלום הקרן התקופתי הקבוע PRN בתוספת</t>
  </si>
  <si>
    <t xml:space="preserve">תשלום הריבית התקופתית INT. </t>
  </si>
  <si>
    <t xml:space="preserve">יתרת הסגירה BAL היא ההפרש בין יתרת הפתיחה לבין תשלום הקרן התקופתי הקבוע PRN. </t>
  </si>
  <si>
    <t>שאלה 4 - התאמת ריבית אפקטיבית לחישוב לוח סילוקין - והצגת לוח מלא על בסיס פונקציות אקסל</t>
  </si>
  <si>
    <t>טרנקילה נטלה הלוואה בסך 500,000 ש״ח ל-3 שנים. ההלוואה מסולקת בתשלומים רבעוניים שווים של קרן וריבית</t>
  </si>
  <si>
    <r>
      <t xml:space="preserve">קרי לפי לוח סילוקין שפיצר, כאשר הריבית השנתית </t>
    </r>
    <r>
      <rPr>
        <b/>
        <sz val="12"/>
        <color theme="1"/>
        <rFont val="David"/>
        <family val="2"/>
        <charset val="177"/>
      </rPr>
      <t>האפקטיבית</t>
    </r>
    <r>
      <rPr>
        <sz val="12"/>
        <color theme="1"/>
        <rFont val="David"/>
        <family val="2"/>
        <charset val="177"/>
      </rPr>
      <t xml:space="preserve"> בהלוואה היא בשיעור 12.550881%. </t>
    </r>
  </si>
  <si>
    <t>נדרש: הציגו את לוח הסילוקין המלא להלוואה.</t>
  </si>
  <si>
    <t>תחילה - אנו זקוקים לריבית האפקטיבית הרבעונית, משום שרבעון הוא פרק הזמן בין תשלומים. הואיל והריבית</t>
  </si>
  <si>
    <r>
      <t xml:space="preserve">הנתונה היא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 (ולא נקובה!) שנתית, התאמתה למונחים רבעוניים אפקטיביים תבוצע על בסיס מעריך חזקה</t>
    </r>
  </si>
  <si>
    <t>מתאים:</t>
  </si>
  <si>
    <t>ריבית לרבעון</t>
  </si>
  <si>
    <t>מס׳ הרבעונים = מס׳ תשלומים</t>
  </si>
  <si>
    <t>תשלום תקופתי קבוע = הערך המחולץ</t>
  </si>
  <si>
    <t>ברירת מחדל</t>
  </si>
  <si>
    <t>INT</t>
  </si>
  <si>
    <t>שאלה 5 - התאמת ריבית אפקטיבית לחישוב לוח סילוקין ונוסחאות אקסל (פתרון עצמי ע״י הסטו׳)</t>
  </si>
  <si>
    <t>במבינו נטל הלוואה בסך 300,000 ש״ח לתקופה של 20 שנה. ההלוואה תוחזר לבנק בתשלומים חודשיים שווים</t>
  </si>
  <si>
    <t xml:space="preserve">של קרן וריבית קרי לפי לוח סילוקין שפיצר, כאשר הריבית החודשית היא 0.7%. </t>
  </si>
  <si>
    <t>ב. מהו ההחזר על חשבון הקרן שייכלל בתשלום ה-39?</t>
  </si>
  <si>
    <t>ג. מהו ההחזר על חשבון הריבית שיכלל בתשלום ה-52?</t>
  </si>
  <si>
    <t>ד. מהי יתרת החוב לבנק לאחר התשלום ה-74?</t>
  </si>
  <si>
    <t>פתרונות:</t>
  </si>
  <si>
    <t>שאלה 6 - לוח סילוקין רגיל - לבית</t>
  </si>
  <si>
    <t>חלפיניו נטל הלוואה בסך 200,000 ש״ח לתקופה של 10 שנים. הריבית השנתית 7% וקרן ההלוואה תסולק</t>
  </si>
  <si>
    <t xml:space="preserve">בתשלומים שנתיים שווים (לוח סילוקין רגיל). </t>
  </si>
  <si>
    <t>א. הציגו את לוח הסילוקין המלא להלוואה.</t>
  </si>
  <si>
    <t>ב. מהי יתרת ההלוואה לאחר 7 תשלומים?</t>
  </si>
  <si>
    <t>ג. מהו מרכיב הריבית בתשלום ה-6?</t>
  </si>
  <si>
    <t>ד. מהו מרכיב הקרן הקבוע בכל תשלום?</t>
  </si>
  <si>
    <t>פתרון מלא (כולל את כל הערכים הרלוונטיים):</t>
  </si>
  <si>
    <t>פתרון א</t>
  </si>
  <si>
    <t>פתרון ג</t>
  </si>
  <si>
    <t>פתרון ב</t>
  </si>
  <si>
    <t xml:space="preserve"> שאלה 7 - לבית</t>
  </si>
  <si>
    <t>חברת איתי אוני קיבלה הלוואה  בסך 500,000 ש״ח הנושאת ריבית שנתית בשיעור 8% לתקופה של 6 שנים.</t>
  </si>
  <si>
    <t xml:space="preserve">בהתאם להסכם עם המלווה, ההלוואה תפרע ב-6 תשלומים שנתיים קבועים ושווים החל מבעוד שנה. </t>
  </si>
  <si>
    <t>א. מהו התשלום הקבוע שיבוצע בתום כל שנה?</t>
  </si>
  <si>
    <t>ב. הציגו לוח סילוקין מלא להלוואה.</t>
  </si>
  <si>
    <t>ג. מהי יתרת ההלוואה לאחר התשלום השלישי? האם תוכלו לחשב במהירות ולא על בסיס הלוח המלא?</t>
  </si>
  <si>
    <t>ד. מהו רכיב הקרן שייפרע בתשלום האחרון? האם תוכלו לחשב במהירות ולא על בסיס הלוח המלא?</t>
  </si>
  <si>
    <t>ה. מהו סכום הריבית הכולל שתשלם החברה בגין ההלוואה?</t>
  </si>
  <si>
    <t>יתרת הלוואה על בסיס תשלומים שנותרו למועד החישוב:</t>
  </si>
  <si>
    <t>התשובה:</t>
  </si>
  <si>
    <t xml:space="preserve">ד. </t>
  </si>
  <si>
    <t>רכיב קרן בתשלום אחרון לפי ppmt:</t>
  </si>
  <si>
    <t>ה.</t>
  </si>
  <si>
    <t>סך התשלומים לפי מכפלה פשוטה של תשלום תקופתי במספר ההחזרים:</t>
  </si>
  <si>
    <t xml:space="preserve">108,158*6 = </t>
  </si>
  <si>
    <t>סך הקרן:</t>
  </si>
  <si>
    <t>הפרש - כי סך התשלומים ״מעבר לקרן״ הם הרי ריבית:</t>
  </si>
  <si>
    <t>כחלופה לחישוב מקוצר ואינטיליגנטי זה, אפשר פשוט לסכום את עמודת התשלום על חשבון ריבית</t>
  </si>
  <si>
    <t>בלוח הסילוקין. התוצאה זהה.</t>
  </si>
  <si>
    <t>שאלה 8 - לבית</t>
  </si>
  <si>
    <t xml:space="preserve">אוריין אשוש נטלה הלוואה בסך 80,000 ש״ח הנושאת ריבית שנתית נקובה בשיעור 12% הנפרעת ב-60 תשלומים חצי </t>
  </si>
  <si>
    <t>שנתיים קבועים ושווים.</t>
  </si>
  <si>
    <t>א. מהו התשלום הקבוע כל חצי שנה?</t>
  </si>
  <si>
    <t>ב. מהי יתרת קרן ההלוואה לאחר 12 שנים? חשבו בזריזות על בסיס נוסחה ולא לוח מלא.</t>
  </si>
  <si>
    <t>ג. מהו רכיב התשלום על חשבון הקרן בתשלום ה-32? מהו רכיב התשלום על חשבון הריבית במועד זה?</t>
  </si>
  <si>
    <t>חלק המשולם ע״ח ריבית</t>
  </si>
  <si>
    <t xml:space="preserve">ipmt </t>
  </si>
  <si>
    <t>חלק המשולם ע״ח קרן</t>
  </si>
  <si>
    <t>אייר גבאי נטלה הלוואה בסך 150,000 ש״ח הנפרעת על פי לוח סילוקין רגיל (תשלומי קרן שווים) למשך 7 שנים. ההלוואה</t>
  </si>
  <si>
    <t>נושאת ריבית שנתית בשיעור 6% והתשלומים בגינה מבוצעים בתום כל שנה.</t>
  </si>
  <si>
    <t>א. מהי יתרת החוב לסילוק (יתרת ההלוואה) לאחר 4 שנים?</t>
  </si>
  <si>
    <t>ב. מהו מרכיב הריבית בתשלום האחרון?</t>
  </si>
  <si>
    <t>כל שנה, הקרן קטנה ב:</t>
  </si>
  <si>
    <t xml:space="preserve">150,000/7 = </t>
  </si>
  <si>
    <t>מס׳ התשלומים שבוצעו:</t>
  </si>
  <si>
    <t>סך הכל קיטון בקרן:</t>
  </si>
  <si>
    <t xml:space="preserve">21,428.57 * 4 = </t>
  </si>
  <si>
    <t>קרן מקורית:</t>
  </si>
  <si>
    <t>סה״כ קיטון בקרן:</t>
  </si>
  <si>
    <t>יתרת קרן:</t>
  </si>
  <si>
    <t>תחילה, נחשב את יתרת ההלוואה לאחר 6 שנים. ומדוע? משום שיתרת ההלוואה לאחר 6 שנים היא הבסיס</t>
  </si>
  <si>
    <t xml:space="preserve">לחישוב ריבית בשנה 7 (כל חישוב ריבית נשען על יתרת הקרן לתקופה קודמת / יתרת פתיחה). </t>
  </si>
  <si>
    <t>יתרת קרן לתום שנה 6:</t>
  </si>
  <si>
    <t>ועל סכום זה תתבסס הריבית לשנה 7.</t>
  </si>
  <si>
    <t>שיעור ריבית:</t>
  </si>
  <si>
    <t>סה״כ ריבית בשנה 7:</t>
  </si>
  <si>
    <t>שאלה 10 - לבית - מורכבת יותר (כן זה אמור להיות קשה ואתם אמורים להרגיש ששברתם את הראש זה בסדר)</t>
  </si>
  <si>
    <t>שוני גבריאלי  שוקל ליטול הלוואה. לפניו האפשרויות הבאות:</t>
  </si>
  <si>
    <t xml:space="preserve">א. הלוואה הנושאת ריבית שנתית נקובה בשיעור 10% המוחזרת ב-40 תשלומים קבועים בסוף כל שנה. רכיב הריבית </t>
  </si>
  <si>
    <t>בתשלום ה-13 הוא 7,000 ש״ח.</t>
  </si>
  <si>
    <t>ב. הלוואה בסך 500,000 ש״ח הנושאת ריבית שנתית נקובה בשיעור 12% המחושבת על בסיס חודשי. ההלוואה נפרעת</t>
  </si>
  <si>
    <t>בתשלומים חודשיים שווי קרן במשך 3 שנים.</t>
  </si>
  <si>
    <t>א. חשבו את סכום ההלוואה שנלקח במסגרת הלוואה א ואת התשלום השנתי הקבוע המשולם בגינה.</t>
  </si>
  <si>
    <t>ב. חשבו את ההחזר הקבוע על חשבון הקרן יששולם בהלוואה ב, אם הבנק יאפשר לך להתחיל לפרוע אותה</t>
  </si>
  <si>
    <t xml:space="preserve">החל מחצי שנה לאחר שנטלת אותה (משך הזמן שבמסגרתו יבוצעו החזרי ההלוואה יתקצר בהתאם). </t>
  </si>
  <si>
    <t>יש בתרגילי הבית שאינם להגשה תרגיל דומה. אם נתקעתם בתרגיל זה, אז אחרי שתעברו על הפתרון מטה, לכו ופתרו</t>
  </si>
  <si>
    <t xml:space="preserve">גם אותו (בקבצים הנפרדים במודל). </t>
  </si>
  <si>
    <t xml:space="preserve">א. מהי הריבית בתשלום ה-13? מן הסתם, מדובר ביתרה לזמן 12 כפול שיעור הריבית. </t>
  </si>
  <si>
    <t xml:space="preserve">ולמה זה נכון? משום שהריבית בכל תקופה היא המכפלה של היתרה לתקופה קודמת בשיעור הריבית, כך בנינו </t>
  </si>
  <si>
    <t>לוחות סילוקין.</t>
  </si>
  <si>
    <t>לכן, היתרה בזמן 12 היא:</t>
  </si>
  <si>
    <t>INT(13) = BAL(12) * 10% = 7,000</t>
  </si>
  <si>
    <t>BAL(12) = 70,000</t>
  </si>
  <si>
    <t>היתרה הזו משקפת מן הסתם ערך נוכחי של התשלומים שנותרו נכון לזמן 12. והואיל וישנם 40 תשלומים, היתרה הזו</t>
  </si>
  <si>
    <t xml:space="preserve">היא הערך הנוכחי של 28 התשלומים שנותרו למועד זה, לפי 28 = 12 - 40. </t>
  </si>
  <si>
    <t>כעת, ניתן לחלץ את גובהו של התשלום התקופתי על בסיס עובדה זו:</t>
  </si>
  <si>
    <t>התשלום התקופתי הקבוע בהלוואה</t>
  </si>
  <si>
    <t>ומהו סכום ההלוואה המקורי? ובכן, הוא זה שמייצג היוון של 40 תשלומים כאלו, כי נכון למועד נטילת ההלוואה,</t>
  </si>
  <si>
    <t>נותרו כל 40 התשלומים:</t>
  </si>
  <si>
    <t>סכום ההלוואה המקורי</t>
  </si>
  <si>
    <t xml:space="preserve">ב. סעיף זה קל יותר מבחינת שלבי פעולה (פחות שלבים) אבל יש בו טוויסט. </t>
  </si>
  <si>
    <t xml:space="preserve">הרי הסכום המקורי שנטלנו הוא 500,000 ש״ח. </t>
  </si>
  <si>
    <t>הוא צובר ריבית (ללא החזרים) ולכן מתנפח לפי ריבית שנתית נקובה 12% שמומרת לריבית חודשית של 1%.</t>
  </si>
  <si>
    <t xml:space="preserve">הואיל ומתחילים להחזיר בזמן 6, מעניין אותנו לדעת את היתרה לזמן 5 (לאחר 5 חודשים ולפני התשלום הראשון). </t>
  </si>
  <si>
    <t>מקבלים:</t>
  </si>
  <si>
    <t xml:space="preserve">500,000 * (1 + 1%)^5 = </t>
  </si>
  <si>
    <t>סכום זה הוא למעשה יתרת ההלוואה החדשה: ההלוואה ל-36 חודשים, 5 חודשים חלפו, פורסים מפה ואילך</t>
  </si>
  <si>
    <t>על ה-31 חודשים שנותרו:</t>
  </si>
  <si>
    <t>רקע וחיבור למפגש הקודם:</t>
  </si>
  <si>
    <r>
      <t xml:space="preserve">במפגש הקודם הצגנו שני לוחות סילוקין - טבלה המפרטת את ההרכב של החזרי הלוואות - </t>
    </r>
    <r>
      <rPr>
        <u/>
        <sz val="11"/>
        <color theme="1"/>
        <rFont val="David"/>
        <family val="2"/>
        <charset val="177"/>
      </rPr>
      <t>לוח שפיצר</t>
    </r>
    <r>
      <rPr>
        <sz val="11"/>
        <color theme="1"/>
        <rFont val="David"/>
        <family val="2"/>
        <charset val="177"/>
      </rPr>
      <t xml:space="preserve"> ולוח </t>
    </r>
    <r>
      <rPr>
        <u/>
        <sz val="11"/>
        <color theme="1"/>
        <rFont val="David"/>
        <family val="2"/>
        <charset val="177"/>
      </rPr>
      <t>רגיל</t>
    </r>
    <r>
      <rPr>
        <sz val="11"/>
        <color theme="1"/>
        <rFont val="David"/>
        <family val="2"/>
        <charset val="177"/>
      </rPr>
      <t>.</t>
    </r>
  </si>
  <si>
    <r>
      <t xml:space="preserve">בלוח </t>
    </r>
    <r>
      <rPr>
        <sz val="11"/>
        <color rgb="FFFF0000"/>
        <rFont val="David"/>
        <family val="2"/>
        <charset val="177"/>
      </rPr>
      <t>שפיצר</t>
    </r>
    <r>
      <rPr>
        <sz val="11"/>
        <color theme="1"/>
        <rFont val="David"/>
        <family val="2"/>
        <charset val="177"/>
      </rPr>
      <t xml:space="preserve"> - שנקרא בדרך כלל במבחנים ״</t>
    </r>
    <r>
      <rPr>
        <sz val="11"/>
        <color rgb="FFFF0000"/>
        <rFont val="David"/>
        <family val="2"/>
        <charset val="177"/>
      </rPr>
      <t>תשלומים שווים של קרן וריבית</t>
    </r>
    <r>
      <rPr>
        <sz val="11"/>
        <color theme="1"/>
        <rFont val="David"/>
        <family val="2"/>
        <charset val="177"/>
      </rPr>
      <t xml:space="preserve">״ עובדים עם פונקציות אקסליות. </t>
    </r>
  </si>
  <si>
    <r>
      <t>בלוח ״</t>
    </r>
    <r>
      <rPr>
        <sz val="11"/>
        <color rgb="FF00B0F0"/>
        <rFont val="David"/>
        <family val="2"/>
        <charset val="177"/>
      </rPr>
      <t>רגיל</t>
    </r>
    <r>
      <rPr>
        <sz val="11"/>
        <color theme="1"/>
        <rFont val="David"/>
        <family val="2"/>
        <charset val="177"/>
      </rPr>
      <t>״ שנקרא בדרך כלל בשאלות במבחנים ״</t>
    </r>
    <r>
      <rPr>
        <sz val="11"/>
        <color rgb="FF00B0F0"/>
        <rFont val="David"/>
        <family val="2"/>
        <charset val="177"/>
      </rPr>
      <t>החזרי קרן שווים</t>
    </r>
    <r>
      <rPr>
        <sz val="11"/>
        <color theme="1"/>
        <rFont val="David"/>
        <family val="2"/>
        <charset val="177"/>
      </rPr>
      <t>״ עובדים באופן אינטואיטיבי ומתמטי יותר.</t>
    </r>
  </si>
  <si>
    <t>התכנית להיום:</t>
  </si>
  <si>
    <t>יש לנו 3 מטרות קריטיות (לא זזים / זזות עד שלא מסיימים / מסיימות):</t>
  </si>
  <si>
    <t xml:space="preserve">א. לוח סילוקין ״שפיצר״ עם ״בלון״ בתום התקופה - בנייה מאפס. </t>
  </si>
  <si>
    <t>ב. לוח סילוקין ״רגיל״ - נוסחאות קיצור לפתרון מהיר (מתמטיות).</t>
  </si>
  <si>
    <t xml:space="preserve">ג. לוח סילוקין עם ״גרייס״ - דחייה עד למועד התשלום הראשון. </t>
  </si>
  <si>
    <t>הלוואות</t>
  </si>
  <si>
    <t>ריכוז נוסחאות לטובת חלק (ב): לוח סילוקין ״רגיל״ (החזרי קרן שווים) - ראו שאלה 2 להלן:</t>
  </si>
  <si>
    <t>תשלום קבוע ע״ח קרן</t>
  </si>
  <si>
    <t>LOAN</t>
  </si>
  <si>
    <t>מספר התשלומים הכולל בהלוואה</t>
  </si>
  <si>
    <t>t</t>
  </si>
  <si>
    <t>מספר התשלום הספציפי לגביו נשאלנו</t>
  </si>
  <si>
    <t>INTt</t>
  </si>
  <si>
    <t>התשלום על חשבון ריבית בזמן t</t>
  </si>
  <si>
    <t>PMTt</t>
  </si>
  <si>
    <t>התשלום הכולל בזמן t</t>
  </si>
  <si>
    <t>BALt</t>
  </si>
  <si>
    <t>יתרת קרן ההלוואה בזמן t</t>
  </si>
  <si>
    <t>שלב 1 - חישוב PMT שפיצרי</t>
  </si>
  <si>
    <t>הטוויסט בעלילה: יש גם תשלום</t>
  </si>
  <si>
    <t>חד פעמי נוסף בתום התקופה (בלון)</t>
  </si>
  <si>
    <t xml:space="preserve">יש להתייחס לתשלום החד פעמי הנ״ל בסימן שלילי בקטגוריית FV. </t>
  </si>
  <si>
    <t>בנוסף - יש להוסיף את ה - FV כאמור לתשלום האחרון הקבוע המבוצע.</t>
  </si>
  <si>
    <t>א. הציגו את לוח הסילוקין.</t>
  </si>
  <si>
    <t>ב. חשבו ישירות, תוך שימוש בנוסחת קיצור, את תשלום הריבית בזמן 7. השוו את התוצאה למתקבל דרך לוח הסילוקין.</t>
  </si>
  <si>
    <t>ג. חשבו ישירות, תוך שימוש בנוסחאות קיצור, את התשלום הכולל בזמן 8. השוו את התוצאה למתקבל דרך לוח הסילוקין.</t>
  </si>
  <si>
    <t>ד. חשבו ישירות, תוך שימוש בנוסחאות קיצור, את יתרת ההלוואה לזמן 4. השוו את התוצאה למתקבל דרך לוח הסילוקין.</t>
  </si>
  <si>
    <t>INT 8</t>
  </si>
  <si>
    <t xml:space="preserve">PMT 8 = </t>
  </si>
  <si>
    <t>פתרון סעיף ב - חישוב מהיר של ריבית</t>
  </si>
  <si>
    <t>הריבית היא מכפלה של שיעור הריבית כפול יתרת הלוואה:</t>
  </si>
  <si>
    <t>יתרת הלוואה היא מספר התשלומים שנותרו כפול החזר קרן:</t>
  </si>
  <si>
    <t>צורת ניסוח מקוצרת (לא חובה):</t>
  </si>
  <si>
    <t>יישום צורת ניסוח מקוצרת (לא חובה):</t>
  </si>
  <si>
    <t>פתרון סעיף ג - חישוב מהיר של תשלום כולל בזמן מסויים</t>
  </si>
  <si>
    <t>פתרון סעיף ד - יתרת ההלוואה (יתרת קרן ההלוואה) לזמן 4</t>
  </si>
  <si>
    <t>המונח ״יתרה״ = ״יתרת סגירה״ אלא אם נאמר מפורשות אחרת ולכן:</t>
  </si>
  <si>
    <t>פוליטון מעוניין ליטול הלוואה בסך 200,000 ש״ח הנושאת ריבית שנתית נקובה בשיעור 12% המחושבת על בסיס חודשי,</t>
  </si>
  <si>
    <r>
      <t xml:space="preserve">ומוחזרת </t>
    </r>
    <r>
      <rPr>
        <b/>
        <sz val="11"/>
        <color rgb="FFFF0000"/>
        <rFont val="David"/>
        <family val="2"/>
        <charset val="177"/>
      </rPr>
      <t>בתשלומים חודשיים שווים</t>
    </r>
    <r>
      <rPr>
        <sz val="11"/>
        <color theme="1"/>
        <rFont val="David"/>
        <family val="2"/>
        <charset val="177"/>
      </rPr>
      <t xml:space="preserve"> בתקופה של 5 שנים, </t>
    </r>
    <r>
      <rPr>
        <b/>
        <sz val="11"/>
        <color rgb="FFFF0000"/>
        <rFont val="David"/>
        <family val="2"/>
        <charset val="177"/>
      </rPr>
      <t>אך התשלום הראשון יבוצע בתום החודש ה-6</t>
    </r>
    <r>
      <rPr>
        <sz val="11"/>
        <color theme="1"/>
        <rFont val="David"/>
        <family val="2"/>
        <charset val="177"/>
      </rPr>
      <t xml:space="preserve"> (מספר התשלומים</t>
    </r>
  </si>
  <si>
    <t xml:space="preserve">הכולל בהלוואה יהיה לפיכך 55, לפי 5 * 12 בניכוי 5). ערכו לוח סילוקין ל-7 חודשי ההלוואה הראשונים, בהנחה </t>
  </si>
  <si>
    <t xml:space="preserve">שלא יבוצע תשלום *כלשהו* עד תום החודש ה-6. </t>
  </si>
  <si>
    <t xml:space="preserve">פתרון: </t>
  </si>
  <si>
    <t>לוח שפיצר = תשלומים שווים.</t>
  </si>
  <si>
    <t>גרייס = התשלום הראשון נדחה לנקודת זמן מאוחרת בעתיד (תום חודש 6).</t>
  </si>
  <si>
    <r>
      <t xml:space="preserve">תחילה: נחשב את </t>
    </r>
    <r>
      <rPr>
        <u/>
        <sz val="11"/>
        <color theme="1"/>
        <rFont val="David"/>
        <family val="2"/>
        <charset val="177"/>
      </rPr>
      <t>יתרת ההלוואה כולל הריבית הצבורה</t>
    </r>
    <r>
      <rPr>
        <sz val="11"/>
        <color theme="1"/>
        <rFont val="David"/>
        <family val="2"/>
        <charset val="177"/>
      </rPr>
      <t xml:space="preserve">, עד לנקודת הזמן שהיא </t>
    </r>
    <r>
      <rPr>
        <u/>
        <sz val="11"/>
        <color theme="1"/>
        <rFont val="David"/>
        <family val="2"/>
        <charset val="177"/>
      </rPr>
      <t>תקופה אחת לפני מועד ההחזר הראשון</t>
    </r>
    <r>
      <rPr>
        <sz val="11"/>
        <color theme="1"/>
        <rFont val="David"/>
        <family val="2"/>
        <charset val="177"/>
      </rPr>
      <t>.</t>
    </r>
  </si>
  <si>
    <t>ולכן, הואיל וכאן מתחילים להחזיר בזמן 6, נבדוק מהי היתרה כולל ריבית צבורה לזמן 5:</t>
  </si>
  <si>
    <t>פריסה קדימה</t>
  </si>
  <si>
    <t>חישוב יתרה כולל צבירת</t>
  </si>
  <si>
    <t>על פני 55 החזרים</t>
  </si>
  <si>
    <t>ריבית לזמן 5</t>
  </si>
  <si>
    <t>לוח מלא (לא חובה בכלל ... אם בא לכם אם יש לכם פטיש ללוחות):</t>
  </si>
  <si>
    <t>שאלה 4 - לוח סילוקין ״גרייס״ - דחייה בהתחלת התשלומים - לוח סילוקין רגיל</t>
  </si>
  <si>
    <t xml:space="preserve">חזרו על חישוביכם משאלה קודמת, בהנחה שההלוואה נפרעת בתשלומים שווי קרן (ללא שינוי ביתר תנאי ההלוואה). </t>
  </si>
  <si>
    <t>תזכורת: הלוואה 200,000 ש״ח, ל-60 חודשים, 5 חודשים גרייס (מתחילים לשלם בזמן 6), ריבית שנתית נקובה 12%</t>
  </si>
  <si>
    <t>מחושבת כל חודש, פירעון בלוח רגיל, נדרש: מהו התשלום בזמן-6?</t>
  </si>
  <si>
    <t xml:space="preserve">השלב הראשון בטיפול בלוח רגיל עם גרייס - לגמרי זהה לשפיצר עם גרייס: לחשב את יתרת ההלוואה כולל ריבית צבורה, </t>
  </si>
  <si>
    <t>לתקופה אחת לפני מועד התשלום הראשון (כלומר, לזמן 5 במקרה זה):</t>
  </si>
  <si>
    <t>יתרה לתום החודש ה-5, חודש אחד לפני תחילת ההחזרים:</t>
  </si>
  <si>
    <t>איך נפרוס זאת אם אני יודע שהריבית החודשית 1%, ההחזר בשיטת ״קרן שווה״, ואני רוצה לדעת את התשלום הכולל הראשון (מבוצע בזמן 6)?</t>
  </si>
  <si>
    <r>
      <t xml:space="preserve">PMT(6) = </t>
    </r>
    <r>
      <rPr>
        <sz val="11"/>
        <color rgb="FFFF0000"/>
        <rFont val="David"/>
        <family val="2"/>
        <charset val="177"/>
      </rPr>
      <t>INT(6)</t>
    </r>
    <r>
      <rPr>
        <sz val="11"/>
        <color theme="1"/>
        <rFont val="David"/>
        <family val="2"/>
        <charset val="177"/>
      </rPr>
      <t xml:space="preserve"> + PRN</t>
    </r>
  </si>
  <si>
    <r>
      <t xml:space="preserve">PMT(6) = </t>
    </r>
    <r>
      <rPr>
        <sz val="11"/>
        <color rgb="FFFF0000"/>
        <rFont val="David"/>
        <family val="2"/>
        <charset val="177"/>
      </rPr>
      <t>210,202 * 1%</t>
    </r>
    <r>
      <rPr>
        <sz val="11"/>
        <color theme="1"/>
        <rFont val="David"/>
        <family val="2"/>
        <charset val="177"/>
      </rPr>
      <t xml:space="preserve"> + 210,202/55 = </t>
    </r>
  </si>
  <si>
    <t>וכעת: חשבו את התשלום הכולל הרביעי (מבוצע בזמן 9 ממועד נטילת ההלוואה)?</t>
  </si>
  <si>
    <r>
      <t xml:space="preserve">PMT(9) = </t>
    </r>
    <r>
      <rPr>
        <sz val="11"/>
        <color rgb="FFFF0000"/>
        <rFont val="David"/>
        <family val="2"/>
        <charset val="177"/>
      </rPr>
      <t>INT(9)</t>
    </r>
    <r>
      <rPr>
        <sz val="11"/>
        <color theme="1"/>
        <rFont val="David"/>
        <family val="2"/>
        <charset val="177"/>
      </rPr>
      <t xml:space="preserve"> + </t>
    </r>
    <r>
      <rPr>
        <b/>
        <sz val="11"/>
        <color rgb="FF00B050"/>
        <rFont val="David"/>
        <family val="2"/>
        <charset val="177"/>
      </rPr>
      <t>PRN</t>
    </r>
  </si>
  <si>
    <t>קצת לוח לבעלי פטיש לוחות:</t>
  </si>
  <si>
    <t>שאלה 5 - חילוצים מהלוואות עם גרייס</t>
  </si>
  <si>
    <t>הלוואה הנושאת ריבית שנתית נקובה בשיעור 12% המחושבת על בסיס חודשי נפרעת ב-38 תשלומים חודשיים שווים, כאשר</t>
  </si>
  <si>
    <t>התשלום הראשון יבוצע בתום החודש ה-7, והוא יכלול רכיב תשלום על חשבון ריבית בסך 15,000 ש״ח.</t>
  </si>
  <si>
    <t>בנתונים אלו, מהו סכום ההלוואה, ומהו התשלום הקבוע בגינה?</t>
  </si>
  <si>
    <t>INT
r = 1%</t>
  </si>
  <si>
    <t>בהגדרה, כפי שציין אופק, התשלום על חשבון ריבית, בכל לוח ובכל מקרה, הוא המכפלה הפשוטה של שיעור הריבית</t>
  </si>
  <si>
    <t>באחוזים ביתרת הפתיחה של ההלוואה לאותה נקודת זמן.</t>
  </si>
  <si>
    <t>הואיל ולא בוצע תשלום כלשהו עד וכולל תום תקופה 6, היתרה לתום תקופה 6 מורכבת מסכום ההלוואה המקורי</t>
  </si>
  <si>
    <t>בתוספת צבירת ריבית במשך 6 חודשים. כלומר ניתן להתייחס לערך PV6 בתור ערך עתידי שנצבר בחלוף 6 תקופות</t>
  </si>
  <si>
    <t>בריבית 1% על יתרת ההלוואה המקורית שאותה ניתן לחלץ:</t>
  </si>
  <si>
    <t>מספר תקופות צבירת הריבית עד זמן 6</t>
  </si>
  <si>
    <t>הערך המחולץ - סכום הלוואה מקורי</t>
  </si>
  <si>
    <t>התשובה הסופית</t>
  </si>
  <si>
    <t>אין תשלומים בכלל עד וכולל זמן 6</t>
  </si>
  <si>
    <t>יתרת הלוואה כולל ריבית צבורה - זמן 6</t>
  </si>
  <si>
    <t xml:space="preserve">כאשר נתונים ערכים המתייחסים להלוואה בעתיד, כגון תשלום ריבית, ניתן להתבסס עליהם לשם חילוץ </t>
  </si>
  <si>
    <t>יתרת ההלוואה במועד עתידי זה, ועל בסיס שימוש בכלים של ערך נוכחי, לחלץ את סכום ההלוואה לתקופות</t>
  </si>
  <si>
    <t>מוקדמות יותר.</t>
  </si>
  <si>
    <t>אינפלציה והצמדה</t>
  </si>
  <si>
    <r>
      <t xml:space="preserve">הדיון שנבצע בהצמדה למדד הוא בסיסי למדי, ועיקרו מימוני ולא כלכלי. ביסודו ההבנה שמנגנון </t>
    </r>
    <r>
      <rPr>
        <b/>
        <sz val="11"/>
        <color rgb="FFFF0000"/>
        <rFont val="David"/>
        <family val="2"/>
        <charset val="177"/>
      </rPr>
      <t>הצמדה</t>
    </r>
    <r>
      <rPr>
        <sz val="11"/>
        <color theme="1"/>
        <rFont val="David"/>
        <family val="2"/>
        <charset val="177"/>
      </rPr>
      <t>, בין אם למדד</t>
    </r>
  </si>
  <si>
    <r>
      <rPr>
        <b/>
        <sz val="11"/>
        <color theme="1"/>
        <rFont val="David"/>
        <family val="2"/>
        <charset val="177"/>
      </rPr>
      <t>המחירים לצרכן</t>
    </r>
    <r>
      <rPr>
        <sz val="11"/>
        <color theme="1"/>
        <rFont val="David"/>
        <family val="2"/>
        <charset val="177"/>
      </rPr>
      <t xml:space="preserve">, </t>
    </r>
    <r>
      <rPr>
        <b/>
        <sz val="11"/>
        <color theme="1"/>
        <rFont val="David"/>
        <family val="2"/>
        <charset val="177"/>
      </rPr>
      <t>למדד תשומות הבנייה</t>
    </r>
    <r>
      <rPr>
        <sz val="11"/>
        <color theme="1"/>
        <rFont val="David"/>
        <family val="2"/>
        <charset val="177"/>
      </rPr>
      <t xml:space="preserve"> או </t>
    </r>
    <r>
      <rPr>
        <b/>
        <sz val="11"/>
        <color theme="1"/>
        <rFont val="David"/>
        <family val="2"/>
        <charset val="177"/>
      </rPr>
      <t>לכל נכס / בסיס הצמדה אחר</t>
    </r>
    <r>
      <rPr>
        <sz val="11"/>
        <color theme="1"/>
        <rFont val="David"/>
        <family val="2"/>
        <charset val="177"/>
      </rPr>
      <t>, מטרתו להגן על המלווה מפני שינויים אפשריים</t>
    </r>
  </si>
  <si>
    <t xml:space="preserve">ובעיקר מפני עלייה בנכס בסיס זה, שתוביל להקטנת ערך התקבול הריאלי מבחינתו. </t>
  </si>
  <si>
    <t>ובעברית? נניח שמשה הלווה ליובל 100,000 ש״ח בריבית 5%.</t>
  </si>
  <si>
    <t>יובל מחזירה לו 105,000 ש״ח (כולל ריבית). לכאורה הוא (משה) מרוצה.</t>
  </si>
  <si>
    <t>או שבעצם... לא בטוח!!! כי אם המדד (יוקר המחיה, רמת המחירים) עלה בינתיים ב-9%, למעשה משה הפסיד כ-4%!</t>
  </si>
  <si>
    <t>מה שמשה יכול לעשות: לקבוע שההלוואה צמודה (נניח - למדד). במצב כזה, יובל תצטרך להחזיר גם את הריבית וגם את כל</t>
  </si>
  <si>
    <t>עליית המדד.</t>
  </si>
  <si>
    <t>ברמה המימונית-תחשיבית שבעיקר בה עוסקים בקורס זה, נרצה, לפיכך, לדעת כיצד מחושבת האינפלציה על בסיס ערכי</t>
  </si>
  <si>
    <t>המדד, ולאחר מכן לבחון את השפעתה על ערכים כספיים (סכום הכסף) בהלוואות צמודות והשקעות צמודות.</t>
  </si>
  <si>
    <t>בנוסף, נרצה להמחיש שימוש בנוסחת פישר, הקושרת בין הריבית הריאלית (לפני הצמדה) לריבית הנומינלית (הכספית הכוללת</t>
  </si>
  <si>
    <t>הצמדה) ושיעור האינפלציה:</t>
  </si>
  <si>
    <t>rn</t>
  </si>
  <si>
    <t>ריבית נומינלית - ריבית כוללת, כספית. אם הריבית הנומינלית 3% לשנה ולוויתי 100 לשנה, אחזיר 103</t>
  </si>
  <si>
    <t>rr</t>
  </si>
  <si>
    <t>ריבית ריאלית - ריבית נומינלית בנטרול (לאחר התאמה בגין) שינויים באינפלציה / מדד</t>
  </si>
  <si>
    <t>π</t>
  </si>
  <si>
    <t>פיא - שיעור האינפלציה</t>
  </si>
  <si>
    <t>להלן נתונים בדבר ערכי מדד המחירים לצרכן בכל רבעון בשנת 2021.</t>
  </si>
  <si>
    <t>מדד בנקודות</t>
  </si>
  <si>
    <t>דצמבר 2020</t>
  </si>
  <si>
    <t>מרס 2021</t>
  </si>
  <si>
    <t>יוני 2021</t>
  </si>
  <si>
    <t>ספט׳ 2021</t>
  </si>
  <si>
    <t>דצמבר 2021</t>
  </si>
  <si>
    <t>א. מהי האינפלציה הרבעונית (מהו השינוי במדד בכל רבעון, באחוזים)?</t>
  </si>
  <si>
    <t>פתרון א - אינפלציה רבעונית:</t>
  </si>
  <si>
    <t>אינפלציה</t>
  </si>
  <si>
    <t>הואיל וביקשו אינפלציה רבעונית,</t>
  </si>
  <si>
    <t xml:space="preserve">לכל רבעון בנפרד, </t>
  </si>
  <si>
    <t>לא מצטברת - חישבנו בכל רבעון</t>
  </si>
  <si>
    <t>את היחס בין המדד העדכני לתום</t>
  </si>
  <si>
    <t xml:space="preserve">אותו רבעון לבין המדד לתום </t>
  </si>
  <si>
    <t xml:space="preserve">רבעון קודם (פחות אחת). </t>
  </si>
  <si>
    <t>פתרון ב - אינפלציה שנתית:</t>
  </si>
  <si>
    <t>רבעונית</t>
  </si>
  <si>
    <t>אינפלציה שנתית:</t>
  </si>
  <si>
    <t xml:space="preserve">במלים: כפלנו ברצף את כל הביטויים שכל אחד מהם מייצג 1 + אינפלציה לתקופת ביניים, ומכל זה הפחתנו 1. </t>
  </si>
  <si>
    <t>את היישום ביצענו באמצעות הפונקציה product באקסל, שיודעת לבצע רצף מכפלות:</t>
  </si>
  <si>
    <t>כמובן, בהינתן נתוני מדד לתחילת התקופה ולסופה, ניתן לחשב את האינפלציה על בסיס היחס בין המדד השוטף</t>
  </si>
  <si>
    <t>לתום השנה - לבין מדד הבסיס לתחילתה:</t>
  </si>
  <si>
    <t xml:space="preserve">121 / 100 - 1 = </t>
  </si>
  <si>
    <t>דונקי קיבל בבנק הלוואה בסך 100,000 ש״ח לשנה. הריבית השנתית היא 5%. ההלוואה צמודה למדד המחירים לצרכן.</t>
  </si>
  <si>
    <t xml:space="preserve">מדד המחירים ביום נטילת ההלוואה: 103.1, מדד המחירים לצרכן ביום החזר ההלוואה: 105.7. </t>
  </si>
  <si>
    <t>מהו הסכום הכולל שהחזיר דונקי ביום פירעון ההלוואה?</t>
  </si>
  <si>
    <t xml:space="preserve">חלקי מדד הבסיס במועד נטילת ההלוואה (103.1). </t>
  </si>
  <si>
    <t>שאלה 3 - דוגמא לשימוש בנוסחת פישר - הקשר בין סוגי ריביות (נומינלית/כוללת, ריאלית ואינפלציה)</t>
  </si>
  <si>
    <t>באפשרותך להשקיע היום באחת מבין שתי תכניות חסכון אלטרנטיביות:</t>
  </si>
  <si>
    <r>
      <t xml:space="preserve">א. תכנית הנושאת ריבית </t>
    </r>
    <r>
      <rPr>
        <u/>
        <sz val="11"/>
        <color theme="1"/>
        <rFont val="David"/>
        <family val="2"/>
        <charset val="177"/>
      </rPr>
      <t>ריאלית</t>
    </r>
    <r>
      <rPr>
        <sz val="11"/>
        <color theme="1"/>
        <rFont val="David"/>
        <family val="2"/>
        <charset val="177"/>
      </rPr>
      <t xml:space="preserve"> שנתית בשיעור 2% הצמודה למדד המחירים לצרכן. </t>
    </r>
  </si>
  <si>
    <r>
      <t xml:space="preserve">ב. תכנית הנושאת ריבית </t>
    </r>
    <r>
      <rPr>
        <u/>
        <sz val="11"/>
        <color theme="1"/>
        <rFont val="David"/>
        <family val="2"/>
        <charset val="177"/>
      </rPr>
      <t>נומינלית</t>
    </r>
    <r>
      <rPr>
        <sz val="11"/>
        <color theme="1"/>
        <rFont val="David"/>
        <family val="2"/>
        <charset val="177"/>
      </rPr>
      <t xml:space="preserve"> שנתית בשיעור 6% ללא הצמדה. </t>
    </r>
  </si>
  <si>
    <t>נתחיל ברענון מונחי:</t>
  </si>
  <si>
    <t xml:space="preserve">כאשר בתכנית השקעה או הלוואה מתקיימת ריבית צמודה, היא תמיד מהווה ריבית ריאלית. </t>
  </si>
  <si>
    <t xml:space="preserve">ומדוע? משום שבוודאות המשקיע מקבל 2% של עלייה בכוח הקניה, גם אם המדד עולה ב-10%, הוא יקבל על כך פיצוי. </t>
  </si>
  <si>
    <r>
      <t xml:space="preserve">כאשר בתכנית הריבית </t>
    </r>
    <r>
      <rPr>
        <b/>
        <sz val="11"/>
        <color theme="1"/>
        <rFont val="David"/>
        <family val="2"/>
        <charset val="177"/>
      </rPr>
      <t>נומינלית</t>
    </r>
    <r>
      <rPr>
        <sz val="11"/>
        <color theme="1"/>
        <rFont val="David"/>
        <family val="2"/>
        <charset val="177"/>
      </rPr>
      <t xml:space="preserve">, זה אומר שהשיעור שלה באחוזים הוא התוספת </t>
    </r>
    <r>
      <rPr>
        <b/>
        <sz val="11"/>
        <color theme="1"/>
        <rFont val="David"/>
        <family val="2"/>
        <charset val="177"/>
      </rPr>
      <t>הכספית</t>
    </r>
    <r>
      <rPr>
        <sz val="11"/>
        <color theme="1"/>
        <rFont val="David"/>
        <family val="2"/>
        <charset val="177"/>
      </rPr>
      <t xml:space="preserve"> הכוללת לקרן. </t>
    </r>
  </si>
  <si>
    <t xml:space="preserve">גם אם המדד יעלה ב-20%, בתכנית ב המשקיע יקבל רק 6% תוספת לסכום שהשקיע. </t>
  </si>
  <si>
    <t xml:space="preserve">בהנחה שהבנק לא מטומטם הוא ידאג להגן על עצמו - ויציע ריבית נומינלית שמשקפת את ציפיות האינפלציה שלו. </t>
  </si>
  <si>
    <t>הקשר הנ״ל בין ריבית ריאלית, נומינלית ואינפלציה, נקרא ״משוואת פישר״ כדלקמן:</t>
  </si>
  <si>
    <t xml:space="preserve">מסקנה: הבנק צופה אינפלציה של 3.92%. </t>
  </si>
  <si>
    <t>השאלה העמוקה: באיזו תכנית יש לבחור?</t>
  </si>
  <si>
    <t>שאלה 4 - דוגמא נוספת לעסקאות צמודות ושאינן צמודות</t>
  </si>
  <si>
    <t>פרקר ודונקי הם חברים טובים והם החליטו להשקיע 10,000 ש״ח בתכנית חסכון לשנה.</t>
  </si>
  <si>
    <t>פרקר השקיע בתכנית חסכון בריבית שנתית נומינלית של 9% - תכנית לא צמודה.</t>
  </si>
  <si>
    <t xml:space="preserve">דונקי השקיע בתכנית חסכון צמודה למדד בריבית שנתית של 6% הצמודה למדד. המדד באותה שנה עלה ב-2.83%. </t>
  </si>
  <si>
    <t>מהו הסכום שיקבל כל אחד מהמשקיעים בתום השנה?</t>
  </si>
  <si>
    <t>הדרכה קטנה:</t>
  </si>
  <si>
    <t>בתכנית לא צמודה - מקבלים את הקרן בתוספת הריבית הנומינלית.</t>
  </si>
  <si>
    <t xml:space="preserve">בתכנית צמודה - מקבלים את הקרן, בתוספת הריבית, וכל זה - בתוספת הצמדה למדד (1 + שיעור עליית המדד). </t>
  </si>
  <si>
    <t>א. בהנחה שההלוואה צמודה, מה יהיה התשלום ה-1 לבנק אם המדד עלה בחודש הראשון ב-1.1%?</t>
  </si>
  <si>
    <t>ג.  מהי יתרת החוב למועד זה?</t>
  </si>
  <si>
    <r>
      <rPr>
        <b/>
        <sz val="11"/>
        <color theme="1"/>
        <rFont val="David"/>
        <family val="2"/>
        <charset val="177"/>
      </rPr>
      <t>פתרון סעיף א</t>
    </r>
    <r>
      <rPr>
        <sz val="11"/>
        <color theme="1"/>
        <rFont val="David"/>
        <family val="2"/>
        <charset val="177"/>
      </rPr>
      <t xml:space="preserve"> - אם המדד עולה בחודש ה-1 ב-1.1% התשלום הכולל יהיה:</t>
    </r>
  </si>
  <si>
    <t xml:space="preserve">3,597.89 * (1 + 1.1%) = </t>
  </si>
  <si>
    <t xml:space="preserve">פתרון סעיף ג - </t>
  </si>
  <si>
    <t>כל רכיב ללא הצמדה ניתן להצמדה על בסיס מכפלתו ביחס בין המדד העדכני למדד הבסיס:</t>
  </si>
  <si>
    <t>שאלה 6 - הלוואה צמודה עם נתוני מדד וחישובי ריבית</t>
  </si>
  <si>
    <t>הבנק מציע הלוואה בריבית נקובה שנתית צמודה בשיעור 4.8% המחושבת מדי חודש. להלן נתוני מדד המחירים לצרכן:</t>
  </si>
  <si>
    <t>שינוי במדד</t>
  </si>
  <si>
    <t>ינואר</t>
  </si>
  <si>
    <t>פברואר</t>
  </si>
  <si>
    <t>מרס</t>
  </si>
  <si>
    <t>אפריל</t>
  </si>
  <si>
    <t>מאי</t>
  </si>
  <si>
    <t>יוני</t>
  </si>
  <si>
    <t>יולי</t>
  </si>
  <si>
    <t>אוגוסט</t>
  </si>
  <si>
    <t>ספטמבר</t>
  </si>
  <si>
    <t>אוקטובר</t>
  </si>
  <si>
    <t>נובמבר</t>
  </si>
  <si>
    <t>דצמבר</t>
  </si>
  <si>
    <t>א. על בסיס פונקציית Product, מהי האינפלציה השנתית?</t>
  </si>
  <si>
    <t xml:space="preserve">ב. מהי הריבית האפקטיבית הנומינלית השנתית (הדרכה: חשבו ריבית אפקטיבית לפני הצמדה, והשתמשו בנוסחת פישר). </t>
  </si>
  <si>
    <t xml:space="preserve">שינוי + 1 </t>
  </si>
  <si>
    <t>שימוש בפונקציית product כדי להניב ערך שנתי:</t>
  </si>
  <si>
    <t xml:space="preserve">נוצרה אינפלציה שלילית (דפלציה). </t>
  </si>
  <si>
    <t xml:space="preserve">התהליך יכלול: </t>
  </si>
  <si>
    <t>שלב 1: התבססו על הריבית הנקובה ותדירות החישוב שלה,</t>
  </si>
  <si>
    <t>וחשבו ריבית ״אפקטיבית״ שנתית בהתעלמות מוחלטת מהצמדות.</t>
  </si>
  <si>
    <t>כלומר חישוב ריבית אפקטיבית במונחי ריבית ריאלית:</t>
  </si>
  <si>
    <t>שלב 2: יישמו את משוואת פישר לחישוב ריבית נומינלית.</t>
  </si>
  <si>
    <t>סה״כ ריבית נומינלית:</t>
  </si>
  <si>
    <t>סיכום ביניים / ריבית ריאלית, נומינלית והצמדות:</t>
  </si>
  <si>
    <t xml:space="preserve">שינויים במדד - אינפלציה באחוזים - ניתנים לחישוב על בסיס פרופורציה בין ערכי המדד. </t>
  </si>
  <si>
    <t>משוואת פישר - עוזרת לבצע חילוצים והמרות מריבית נומינלית לריאלית ולהפך.</t>
  </si>
  <si>
    <t>חישוב סכומים כולל הצמדה - מתבססים על סכומים לפני הצמדה (ריאליים) כפול יחס המדדים או שינוי אינפלציה כולל עדכני.</t>
  </si>
  <si>
    <t>בחירה בין חלופות - צמודות ולא צמודות - מתבססים על חישוב אינפלציה מגולמת צפויה (לפי פישר) אל מול ציפיותינו לאינפלציה.</t>
  </si>
  <si>
    <t>שאלה 7 - בחירה בין חלופות</t>
  </si>
  <si>
    <t>באפשרותך להפקיד באחת מבין שתי תכניות החסכון הבאות:</t>
  </si>
  <si>
    <t>א. כזו הנושאת ריבית ריאלית שנתית בשיעור 2% הצמודה למדד.</t>
  </si>
  <si>
    <t>ב. כזו הנושאת ריבית נומינלית שנתית בשיעור 6% ללא הצמדה.</t>
  </si>
  <si>
    <t>נדרש: באיזו תכנית כדאי לבחור אם שיעור האינפלציה הוא 4.5%? מהי הריבית הריאלית מהתכנית הלא צמודה אם אכן</t>
  </si>
  <si>
    <t>התברר שזו היתה האינפלציה בפועל?</t>
  </si>
  <si>
    <t xml:space="preserve">אם האינפלציה 4.5%, לפי משוואת פישר נקבל ריבית נומינלית כוללת במסלול הצמוד בסכום של: </t>
  </si>
  <si>
    <t xml:space="preserve">(1 + 2%) * (1 + 4.5%) - 1 = </t>
  </si>
  <si>
    <t>הואיל וערך זה גבוה יותר מ-6% תועדף התכנית הצמודה.</t>
  </si>
  <si>
    <t>הריבית הריאלית מהתכנית הלא צמודה בהנחה שהאינפלציה אכן 4.5%, לפי משוואת פישר:</t>
  </si>
  <si>
    <t xml:space="preserve">(1 + 6.59%) / (1 + 4.5%) - 1 = </t>
  </si>
  <si>
    <t>שאלה 8 - ערכים ריאליים</t>
  </si>
  <si>
    <t>פוקונדה הפקיד בבנק בתחילת 2018 סכום של 500,000 ש״ח לתקופה של שנה. בתור לקוח ותיק, הבנק הציע לו ריבית שנתית</t>
  </si>
  <si>
    <t xml:space="preserve">קבועה נומינלית של 2.8% ללא הצמדה. האינפלציה השנתית ב-2018 הסתכמה בפועל ב-3.7%. </t>
  </si>
  <si>
    <t>נדרש: מהו הסכום הכולל שקיבל פוקונדה בתום 2018, ומהו השינוי הריאלי בכספו (ריבית/תשואה ריאלית)?</t>
  </si>
  <si>
    <t>הסכום הכולל שקיבל פקונדו:</t>
  </si>
  <si>
    <t>ריבית ריאלית:</t>
  </si>
  <si>
    <t>הגיוני שתתקבל ריבית ריאלית שלילית הואיל והאינפלציה גבוהה מהריבית הנומינלית. ברמת התחשיב, יש להציב במשוואת</t>
  </si>
  <si>
    <t>פישר כדי להגיע לחילוץ זה.</t>
  </si>
  <si>
    <t>רקע ומבוא:</t>
  </si>
  <si>
    <t>אנו מגדירים ערך פיננסי בתור פונקציה המתבססת על סכומים (סכומי המזומנים שיונבו נטו), זמן והריבית האלטרנטיבית, שבמקרה</t>
  </si>
  <si>
    <t>האלטרנטיבית לצרכים של קבלת החלטות השקעה, וזאת בכפוף לאחת מבין שתי תפיסות עקרוניות:</t>
  </si>
  <si>
    <t>תפיסה 1:</t>
  </si>
  <si>
    <t>נקי לכל תזרימי המזומנים בעסקה (על בסיס פונקציית NPV האקסלית או אקוויוולנט מתמטי) וכאשר ה - NPV</t>
  </si>
  <si>
    <t>יותר ממחיר ההון / הריבית האלטרנטיבית שבה הוונו תזרימיו. נשמע קצת מתוחכם, נחזור לעיקרון זה בהמשך על</t>
  </si>
  <si>
    <t>בסיס התרגילים כדי להבהירו יותר.</t>
  </si>
  <si>
    <t>תפיסה 2:</t>
  </si>
  <si>
    <t xml:space="preserve">זו מחשבים את שיעור התשואה התקופתי הממוצע על ההשקעה ומצביעים על כדאיות הפרויקט אם ורק אם </t>
  </si>
  <si>
    <t>ערך זה גבוה יותר מהתשואה האלטרנטיבית / מחיר ההון.</t>
  </si>
  <si>
    <t xml:space="preserve">לבין סכום ההשקעה, ומצדיק קבלת הפרויקט כאשר ערכו חיובי. </t>
  </si>
  <si>
    <t>שאלה 1 - חישוב בסיסי של NPV וקבלת החלטה לאורו - על בסיס אפיון תזרימי מלא ופונקציית NPV האקסלית</t>
  </si>
  <si>
    <t xml:space="preserve">תקבול נקי בסך של 90 א׳ ש״ח בתום השנה ה-2 ותקבול נקי בסך של 70 א׳ ש״ח בתום השנה ה-3, בהנחה שהריבית השנתית </t>
  </si>
  <si>
    <t>היא 10%. האם כדאי לקבל את הפרויקט, לאור ממצאיכם?</t>
  </si>
  <si>
    <t>שאלה 2 - חישוב נוסף של NPV - הפעם על בסיס פונקציית PV האקסלית</t>
  </si>
  <si>
    <t>פרויקט דורש השקעה בסך 400 אלפי ש״ח ומניב תקבול נקי בסך 20 אלפי ש״ח לשנה, וזאת לתקופה של 30 שנה. הריבית השנתית</t>
  </si>
  <si>
    <t>היא בשיעור 10%. חשבו את הענ״נ וקבעו האם ההשקעה בפרויקט כדאית.</t>
  </si>
  <si>
    <t>מציעים לכם להשקיע בפרויקט שתזרימי מזומניו כדלקמן:</t>
  </si>
  <si>
    <t>ב. בהנחה שהבנק הציע לכם ריבית שנתית בשיעור 15%, האם הפרויקט המוצע כדאי? נמקו.</t>
  </si>
  <si>
    <t>נתונים 3 פרויקטים - A,B,C המוציאים זה את זה (קרי, ביצוע האחד שולל מיידית ביצוע השניים האחרים). עלות ההון של הפירמה</t>
  </si>
  <si>
    <t xml:space="preserve">היא 10%. </t>
  </si>
  <si>
    <t>A</t>
  </si>
  <si>
    <t>B</t>
  </si>
  <si>
    <t>C</t>
  </si>
  <si>
    <t>א. חשבו את הענ״נ של כל פרויקט.</t>
  </si>
  <si>
    <t xml:space="preserve">ב. חשבו את השת״פ של כל פרויקט. </t>
  </si>
  <si>
    <t>ג. איזה פרויקט עדיף?</t>
  </si>
  <si>
    <t>שאלה 5 - פרויקטים המוציאים זה את זה וערכי IRR</t>
  </si>
  <si>
    <t>להלן נתוני שני פרויקטים:</t>
  </si>
  <si>
    <t>IRR</t>
  </si>
  <si>
    <t xml:space="preserve">הפרויקטים מוציאים זה את זה - ביצוע האחד מבטל ביצוע האחר. </t>
  </si>
  <si>
    <t>איזה מבין הפרויקטים יועדף בכל אחד מהמקרים הבאים:</t>
  </si>
  <si>
    <t>א. כאשר מחיר ההון 5%.</t>
  </si>
  <si>
    <t xml:space="preserve">ב. כאשר מחיר ההון 9.7%. </t>
  </si>
  <si>
    <t xml:space="preserve">ג. כאשר מחיר ההון בין 9.7% ל-60.74%. </t>
  </si>
  <si>
    <t>NPV</t>
  </si>
  <si>
    <t>PI</t>
  </si>
  <si>
    <t>D</t>
  </si>
  <si>
    <t>E</t>
  </si>
  <si>
    <t>הדרכה: הציגו בטבלה את הפרויקט הנבחר, את מדד הרווחיות שלו, את סכום ההשקעה, את הענ״נ שמתקבל ואת הסכום הנותר להשקעה.</t>
  </si>
  <si>
    <t>שאלה 8 - שאלת תרגול בנושא פרויקטים המוציאים זה את זה</t>
  </si>
  <si>
    <t>להלן נתונים זרמי המזומנים של שני פרויקטים המוציאים זה את זה. עלות ההון של החברה היא 6%. יש לחשב את הענ״נ ולהכריע</t>
  </si>
  <si>
    <t xml:space="preserve">איזה פרויקט יועדף. </t>
  </si>
  <si>
    <t>שאלה 9 - שאלת תרגול בנושא ענ״נ שת״פ וסתירות</t>
  </si>
  <si>
    <t>חברה מסוימת ניצבת בפני שתי תכניות השקעה חד פעמיות המוציאות זו את זו. מחיר ההון של החברה 8%. זרמי המזומנים הצפויים</t>
  </si>
  <si>
    <t>מכל תכנית הם כדלקמן - כמוצג מטה. חשבו לכל תכנית ענ״נ ושת״פ וחוו דעתכם - איזו תכנית תועדף ומדוע.</t>
  </si>
  <si>
    <t>בנוסף ידוע כי ניתן להשקיע בחלקי פרויקטים כלומר לבצע חלק יחסי מההשקעה של כל פרויקט ולקבל חלק יחסי מהערך הנוכחי</t>
  </si>
  <si>
    <t>הנקי שלו. בתנאים אלו, מהו הסכום שתשקיע החברה בפרויקט D?</t>
  </si>
  <si>
    <t>Investment</t>
  </si>
  <si>
    <t>נתונים שני פרויקטים המוציאים זה את זה:</t>
  </si>
  <si>
    <t xml:space="preserve">מהו טווח מחירי ההון שבו יועדף כל אחד מהפרויקטים? יש להיעזר בהצגה גרפית. </t>
  </si>
  <si>
    <t>שווי כספי נטו</t>
  </si>
  <si>
    <t>תשואה באחוז</t>
  </si>
  <si>
    <r>
      <t xml:space="preserve">קיים גם קריטריון משני המשרת תפיסה זו, </t>
    </r>
    <r>
      <rPr>
        <b/>
        <sz val="11"/>
        <color theme="1"/>
        <rFont val="David"/>
        <family val="2"/>
        <charset val="177"/>
      </rPr>
      <t>קריטריון הנקרא ״מדד הרווחיות״ PI הבוחן את הפרופורציה שבין ה - NPV</t>
    </r>
  </si>
  <si>
    <t xml:space="preserve">חשבו את הענ״נ (NPV) של פרויקט שדורש השקעה מיידית בסך 100 אלפי ש״ח ומניב תקבול נקי בסך של 80 א׳ ש״ח בתום השנה ה-1, </t>
  </si>
  <si>
    <t xml:space="preserve">ברוב המקרים, בקבלת החלטות בדבר פרויקטים, עיקר הדיון יתחיל מהצגה מסודרת מפורטת בטבלה של כל תזרימי המזומנים </t>
  </si>
  <si>
    <t>הצפויים מהפרויקט. בפרט חשוב לייצר טבלה כזו, כאשר תזרימי המזומנים משתנים, ואז שימוש בכלי של PV קלאסי - לא תופס.</t>
  </si>
  <si>
    <t>הפונקציה הרלוונטית שתיושם לשם חישובי ענ״נ (NPV) היא פונקציית ה - NPV, אשר מקבלת כקלט את מחיר ההון (הריבית האלטרנטיבית)</t>
  </si>
  <si>
    <t>ואת ״מערך״ תזרימי המזומנים ומחזירה את הערך הנוכחי. חשוב לשים לב - לתזרים בזמן ״0״ נתייחס בנפרד:</t>
  </si>
  <si>
    <t>עיתוי</t>
  </si>
  <si>
    <t>תזרים מזומנים</t>
  </si>
  <si>
    <t>נתון</t>
  </si>
  <si>
    <t xml:space="preserve">rate = </t>
  </si>
  <si>
    <t>היישום:</t>
  </si>
  <si>
    <t xml:space="preserve">npv = </t>
  </si>
  <si>
    <t>מסקנה: שווי הפרויקט נטו / תרומתו לערך החברה היא 99.7 אלפי ש״ח.</t>
  </si>
  <si>
    <t xml:space="preserve">הפרויקט כדאי, הוביל ושוויו הכולל נטו חיובי. </t>
  </si>
  <si>
    <t>המשמעות הכלכלית - אם היינו צריכים להגיע לתזרימי מזומנים זהים: 80,90,70 באמצעות פרויקטים ״אלטרנטיביים״ המניבים</t>
  </si>
  <si>
    <r>
      <t>תשואה אלטרנטיבית של 10%, היינו צריכים להשקיע 99.7 יותר (</t>
    </r>
    <r>
      <rPr>
        <sz val="11"/>
        <color rgb="FFFF0000"/>
        <rFont val="David"/>
        <family val="2"/>
        <charset val="177"/>
      </rPr>
      <t>הדגמה לצרכי הבנה שלא מחייבת לבחינה</t>
    </r>
    <r>
      <rPr>
        <sz val="11"/>
        <color theme="1"/>
        <rFont val="David"/>
        <family val="2"/>
        <charset val="177"/>
      </rPr>
      <t>).</t>
    </r>
  </si>
  <si>
    <t>בהחלט ניתן לייצר טבלה אקסלית להצגת תזרימי מזומנים במשך 30 שנה. יחד עם זאת, כאשר התזרימים קבועים, במקרים רבים</t>
  </si>
  <si>
    <t>יהיה זה נוח יותר להשתמש בכל זאת בפונקציית ה - PV ה״קלאסית״.</t>
  </si>
  <si>
    <t>אם זיהינו פרויקט שכולל תזרימי מזומנים רבים וקבועים, ניישם PV ולא NPV לשם חישוב שווי.</t>
  </si>
  <si>
    <t>ריבית אלטרנטיבית / מחיר ההון</t>
  </si>
  <si>
    <t>מספר התקבולים השנתיים</t>
  </si>
  <si>
    <t>ערך נוכחי - רכיב תקבולים בלבד</t>
  </si>
  <si>
    <t>תזרים חיובי שנתי קבוע</t>
  </si>
  <si>
    <t>אין כאן תזרים חד פעמי בתום התקופה</t>
  </si>
  <si>
    <t>בשונה מפונקציית NPV שתוצאת הסימן המתמטי שלה סופית, הרי שבחישוב PV הפרשנות לערך המספרי טריקית יותר: וזאת הואיל</t>
  </si>
  <si>
    <t>וערך שלילי של pv משמעו שאנו מוכנים ״לשלם״ בעד סדרת התקבולים המוזנת סכום זה. בשפה אחרת: בהתעלם מהצורך לבצע</t>
  </si>
  <si>
    <t>השקעה ראשונית, שאליה החישוב עדיין לא מתייחס, שווי הפרויקט הוא:</t>
  </si>
  <si>
    <t>השקעה ראשונית נדרשת - בסימן שלילי:</t>
  </si>
  <si>
    <t>שווי הפרויקט נטו:</t>
  </si>
  <si>
    <t>=NPV</t>
  </si>
  <si>
    <t>שלילי מזעזע - פרויקט לא כדאי</t>
  </si>
  <si>
    <t>סיכום סדר פעולות:</t>
  </si>
  <si>
    <t xml:space="preserve">כאשר תזרימי הפרויקט ״קצרים ומעטים״ = השימוש בפונקציית NPV וטבלת תזרימים מומלץ, ויעניק תשובה סופית מצויינת. </t>
  </si>
  <si>
    <t xml:space="preserve">כאשר תזרימי הפרויקט ״רבים וקבועים״ = יש להשתמש בפונקציית PV, לבטא את הערך המוחלט של התקבולים בלבד, ולנכות את </t>
  </si>
  <si>
    <t>סכום ההשקעה.</t>
  </si>
  <si>
    <t>ההזנה בפונקציית irr לשם חישוב שת״פ היא של התזרימים כולם,</t>
  </si>
  <si>
    <t>כולל ההשקעה בזמן אפס וללא הפרדה.</t>
  </si>
  <si>
    <t xml:space="preserve">irr = </t>
  </si>
  <si>
    <r>
      <t xml:space="preserve">כדי לבחון כדאיות השקעה בהתבסס על irr לעולם </t>
    </r>
    <r>
      <rPr>
        <u/>
        <sz val="11"/>
        <color theme="1"/>
        <rFont val="David"/>
        <family val="2"/>
        <charset val="177"/>
      </rPr>
      <t>לא</t>
    </r>
    <r>
      <rPr>
        <sz val="11"/>
        <color theme="1"/>
        <rFont val="David"/>
        <family val="2"/>
        <charset val="177"/>
      </rPr>
      <t xml:space="preserve"> נוכל להישען על ה - irr לבדו - אלא על השוואה בין ערכו </t>
    </r>
  </si>
  <si>
    <t xml:space="preserve">לבין ערך התשואה האלטרנטיבית באחוזים (מחיר ההון). </t>
  </si>
  <si>
    <t>על פי הסעיף, התשואה האלטרנטיבית לפרויקט היא 15%. הואיל ותשואה אלטרנטיבית זו גבוהה מזו שאותה מניב</t>
  </si>
  <si>
    <r>
      <t xml:space="preserve">הפרויקט, הוא </t>
    </r>
    <r>
      <rPr>
        <b/>
        <sz val="11"/>
        <color theme="1"/>
        <rFont val="David"/>
        <family val="2"/>
        <charset val="177"/>
      </rPr>
      <t>איננו</t>
    </r>
    <r>
      <rPr>
        <sz val="11"/>
        <color theme="1"/>
        <rFont val="David"/>
        <family val="2"/>
        <charset val="177"/>
      </rPr>
      <t xml:space="preserve"> כדאי. </t>
    </r>
  </si>
  <si>
    <t>קריטריון</t>
  </si>
  <si>
    <t>קבלה כאשר</t>
  </si>
  <si>
    <t>דחיה כאשר</t>
  </si>
  <si>
    <t>אדישות</t>
  </si>
  <si>
    <t>NPV &gt; 0</t>
  </si>
  <si>
    <t>NPV &lt; 0</t>
  </si>
  <si>
    <t>NPV = 0</t>
  </si>
  <si>
    <t>IRR &gt; rate</t>
  </si>
  <si>
    <t>IRR &lt; rate</t>
  </si>
  <si>
    <t>IRR = rate</t>
  </si>
  <si>
    <t>פתרון סעיפים א ו-ב:</t>
  </si>
  <si>
    <t>לפי NPV מועדף הפרויקט בעל ה - NPV המירבי B</t>
  </si>
  <si>
    <t>לפי IRR מועדף הפרויקט בעל ה - IRR המירבי C</t>
  </si>
  <si>
    <t>פתרון סעיף ג:</t>
  </si>
  <si>
    <t xml:space="preserve">בהנחת ברירת המחדל הקורסית לפיה לא ניתן לחזור על הפרויקטים (וספציפית: לא ניתן לבצע את פרויקט C כ-100,000 פעמים), יועדף </t>
  </si>
  <si>
    <t xml:space="preserve">ברמה הכלכלית הפרויקט בעל הענ״נ - NPV המירבי. </t>
  </si>
  <si>
    <t>ה- IRR הוא כלל החלטה ש״נדפק״ כאשר משווים בין פרויקטים בעלי גודל השקעה שונה.</t>
  </si>
  <si>
    <t xml:space="preserve">פתרון: גם בשאלה זו אנו נתקלים בסיטואציה שבה קיימים נתוני IRR, שעשויים להטעות בהיבטים של קבלת החלטה, </t>
  </si>
  <si>
    <t>כאשר גודל ההשקעה שונה. לכן נפעל על בסיס NPV:</t>
  </si>
  <si>
    <t>טבלת תזרימים - הצגה אנכית:</t>
  </si>
  <si>
    <t>NPV(A)</t>
  </si>
  <si>
    <t>NPV(B)</t>
  </si>
  <si>
    <t>rate = 5%</t>
  </si>
  <si>
    <t xml:space="preserve">מסקנה: בהנחה שמחיר ההון 5%, יועדף פרויקט A. </t>
  </si>
  <si>
    <t>rate = 9.7%</t>
  </si>
  <si>
    <t>מסקנה: בהנחה שמחיר ההון 9.7%, הפרויקטים שקולים.</t>
  </si>
  <si>
    <t>rate = 15%</t>
  </si>
  <si>
    <t>rate = 60.74%</t>
  </si>
  <si>
    <t xml:space="preserve">מסקנה: בהנחה שמחיר ההון 60.74%, מועדף פרויקט B. </t>
  </si>
  <si>
    <t>NPV = ענ״נ</t>
  </si>
  <si>
    <t>החסום התחתון לערך ה - NPV הוא</t>
  </si>
  <si>
    <t xml:space="preserve">מיוצג בנקודת החיתוך עם הציר </t>
  </si>
  <si>
    <t>מחיר ההון = rate</t>
  </si>
  <si>
    <t>המזומנים של הפרויקט.</t>
  </si>
  <si>
    <t>למשל בפרויקט A:</t>
  </si>
  <si>
    <t>-200 + 120 * 3 = 160</t>
  </si>
  <si>
    <t>הבהרות:</t>
  </si>
  <si>
    <t>חישוב ה- NPV מבוצע ״כרגיל״ באמצעות פונקציית NPV שלתוכה מזינים את מחיר ההון הנתון 10% ואת טווח תזרימי המזומנים</t>
  </si>
  <si>
    <t>ללא ההשקעה, אותה מוסיפים בנפרד בסוף התהליך.</t>
  </si>
  <si>
    <t xml:space="preserve">כל 1 ש״ח של השקעה בפרויקט תורם לענ״נ. לכן, בהינתן מגבלת תקציב, יוקצה התקציב הביצועי לפרויקטים לפי סדר ה - PI שלהם, </t>
  </si>
  <si>
    <t>סכום השקעה</t>
  </si>
  <si>
    <t>יתרת תקציב</t>
  </si>
  <si>
    <t>תרומה לענ״נ</t>
  </si>
  <si>
    <t xml:space="preserve">200/300 * 122.99 = </t>
  </si>
  <si>
    <t>סה״כ ענ״נ מצרפי מירבי</t>
  </si>
  <si>
    <t>סידרנו את הפרויקטים לפי סדר ה PI, בסדר יורד.</t>
  </si>
  <si>
    <t>כל עוד סכום ההשקעה אפשרי על בסיס יתרת התקציב, ההשקעה בוצעה במלואה והענ״נ הוא ענ״נ הפרויקט.</t>
  </si>
  <si>
    <t>אם סכום ההשקעה גבוה מיתרת התקציב, ממצים את יתרת התקציב ומחשבים את תוספת הענ״נ באופן יחסי על בסיס מכפלת ענ״נ</t>
  </si>
  <si>
    <t xml:space="preserve">הפרויקט ביחס בין ההשקעה האפשרית במסגרת התקציב לבין סכום ההשקעה הכולל הנדרש בפרויקט (תקף לפרויקט C בלבד). </t>
  </si>
  <si>
    <t>כדי להבטיח הבנה בשאלה מורכבת זו, נקפוץ כעת לתרגיל 10. שאלות 8 ו-9 פשוטות בהרבה.</t>
  </si>
  <si>
    <t>שאלה 10 - השקעות חלקיות ומגבלת תקציב</t>
  </si>
  <si>
    <t>להלן נתונים בפני פרויקטים רבים העומדים בפני החברה. הם אינם מוציאים זה את זה אך לחברה הון מוגבל העומד על 320,000 ש״ח.</t>
  </si>
  <si>
    <t xml:space="preserve">40,000 / 100,000 * 56,000 = </t>
  </si>
  <si>
    <t>NPVB</t>
  </si>
  <si>
    <t>NPVA</t>
  </si>
  <si>
    <t>נתוני הפרויקטים:</t>
  </si>
  <si>
    <t>MAX NPV</t>
  </si>
  <si>
    <t>INVESTMENT</t>
  </si>
  <si>
    <t>סיכום פשוט (SUM) של תזרימי המזומנים של הפרויקט.</t>
  </si>
  <si>
    <t>שיעור התשואה הפנימי - באמצעות פונקציית IRR על כל התזרימים</t>
  </si>
  <si>
    <t>ההשקעה בזמן אפס</t>
  </si>
  <si>
    <t xml:space="preserve">קרי כל עקומת הענ״נ של B היא מעל עקומת הענ״נ של A. </t>
  </si>
  <si>
    <t xml:space="preserve">כאשר דיברנו במפגשים הקודמים על כדאיות פרויקטים (NPV, IRR וכיו״ב) - תזרימי המזומנים של הפרויקטים היו ידועים. </t>
  </si>
  <si>
    <t>כלומר, מראש (בנתוני הבסיס של התרגיל) קיבלנו טבלה שנראית בערך כך:</t>
  </si>
  <si>
    <t>בחיים עצמם ״האמיתיים״ - בהרבה מקרים כאשר ניגש לדון בפרויקטים ובכדאיות שלהם, לא נקבל את הנתונים בצורה ״נטו״</t>
  </si>
  <si>
    <t xml:space="preserve">כל כך מסודרת, אלא בצורה של תיאור פרויקט. </t>
  </si>
  <si>
    <t>כלומר: נקבל ״מצבור״ נתונים מילוליים ומספריים, שיכללו בין היתר:</t>
  </si>
  <si>
    <t>א. נתוני הכנסות</t>
  </si>
  <si>
    <t>ב. נתוני הוצאות</t>
  </si>
  <si>
    <t>נרצה לשקלל - לערוך חישובים המתבססים על כל נתונים אלו;
להגיע באמצעותם לתזרים המזומנים;
ואז לחשב ענ״נ / שת״פ.</t>
  </si>
  <si>
    <t>ג. נתוני מסים</t>
  </si>
  <si>
    <t>ד. נתוני השקעות</t>
  </si>
  <si>
    <t>הנחות עבודה שילוו אותנו בקורס לאור מגבלות הזמנים:</t>
  </si>
  <si>
    <t>ההכנסות וההוצאות השנתיות קבועות.</t>
  </si>
  <si>
    <t>פריטי השקעה נמכרים רק לאחר איפוס ערך הספרים שלהם כך שמס רווח ההון חל על מלוא תמורת המכירה.</t>
  </si>
  <si>
    <t xml:space="preserve">המבנה התזרימי קבוע. </t>
  </si>
  <si>
    <t>תרגיל 1</t>
  </si>
  <si>
    <t>חברת ״עציונים״ בע״מ שוקלת לתמרץ את עובדיה ובכך להגדיל את תפוקתם.</t>
  </si>
  <si>
    <t>הכלי העומד לרשותה - מכונה ענקית לחימום נקניק.</t>
  </si>
  <si>
    <t>החברה שכרה יועץ תפעולי, מומחה בתחום חימום הנקניק, ושילמה לו שכר טרחה בסך 70,000 ש״ח</t>
  </si>
  <si>
    <t xml:space="preserve">עבור מאמציו. </t>
  </si>
  <si>
    <t>להלן הנתונים שמסר היועץ:</t>
  </si>
  <si>
    <t>א. ההשקעה הנדרשת במכונת חימום הנקניק היא 1,000,000 ש״ח.</t>
  </si>
  <si>
    <t>ב. המכונה תוכל לשרת את החברה במשך 5 שנים.</t>
  </si>
  <si>
    <t>ג. העובדים צפויים להתלהב מחימום הנקניק עד כדי כך שההכנסות מעבודתם תגדלנה</t>
  </si>
  <si>
    <t xml:space="preserve">    בסכום של 240,000 ש״ח לשנה.</t>
  </si>
  <si>
    <t>ד. עלויות התחזוקה של המכונה הן 10,000 לשנה.</t>
  </si>
  <si>
    <t>ה. הפרויקט ידרוש השקעה בהון חוזר בסך 35,000 ש״ח.</t>
  </si>
  <si>
    <t>ו. השימוש במכונה יגרום לחלק מהעובדים לבעיות עיכול מה שיפגע בתפוקתם בפרויקטים אחרים</t>
  </si>
  <si>
    <t xml:space="preserve">    בסך 22,000 לשנה.</t>
  </si>
  <si>
    <t>ז. המכונה המשומשת לחימום נקניק תימכר בתום 5 השנים תמורת 44,000 ש״ח.</t>
  </si>
  <si>
    <t>ח. שיעור מס החברות 30%, שיעור מס רווחי ההון 20%, מחיר ההון: 8%.</t>
  </si>
  <si>
    <t xml:space="preserve">נדרש 1: הציגו את תזרימי המזומנים השנתיים וחשבו את ה- NPV. </t>
  </si>
  <si>
    <t>נדרש 2: הניחו כעת כי הממשלה החליטה לעודד רכישת מכונות לחימום נקניק ופטרה את מכירתן ממס רווח הון.</t>
  </si>
  <si>
    <t xml:space="preserve">             מה יהיה ה - NPV במצב זה?</t>
  </si>
  <si>
    <t>פתרון נדרש 1</t>
  </si>
  <si>
    <t>שלב 1: חישוב מס החברות</t>
  </si>
  <si>
    <t>הכנסות שוטפות</t>
  </si>
  <si>
    <t>לפי נתון ג</t>
  </si>
  <si>
    <t>הוצאות שוטפות ללא פחת</t>
  </si>
  <si>
    <t xml:space="preserve">10,000 + 22,000 = </t>
  </si>
  <si>
    <t>נתונים ד, ו</t>
  </si>
  <si>
    <t>פחת</t>
  </si>
  <si>
    <t xml:space="preserve">1,000,000 / 5 = </t>
  </si>
  <si>
    <t>עלות השקעה חלקי תקופת הפחתה</t>
  </si>
  <si>
    <t>הכנסה חייבת</t>
  </si>
  <si>
    <t xml:space="preserve">240,000 - 32,000 - 200,000 = </t>
  </si>
  <si>
    <t>שיעור מס חברות</t>
  </si>
  <si>
    <t>נתון ח: שיעור מס חברות 30%</t>
  </si>
  <si>
    <r>
      <t xml:space="preserve">מס חברות </t>
    </r>
    <r>
      <rPr>
        <b/>
        <u/>
        <sz val="12"/>
        <color theme="1"/>
        <rFont val="David"/>
        <family val="2"/>
        <charset val="177"/>
      </rPr>
      <t>לתשלום</t>
    </r>
  </si>
  <si>
    <t xml:space="preserve">8,000 * 30% = </t>
  </si>
  <si>
    <t>שלב 2: גיליון עבודה</t>
  </si>
  <si>
    <t>השקעה</t>
  </si>
  <si>
    <t>הכנסות</t>
  </si>
  <si>
    <t>הוצאות</t>
  </si>
  <si>
    <t>מס חברות</t>
  </si>
  <si>
    <t>הון חוזר</t>
  </si>
  <si>
    <t>מכירת השקעה</t>
  </si>
  <si>
    <t>מס רווח הון</t>
  </si>
  <si>
    <t>סך תזרים</t>
  </si>
  <si>
    <t>מס רווח הון: המכפלה של תמורת מכירת ההשקעה, בשיעור מס רווח ההון, במינוס (תשלום מס):</t>
  </si>
  <si>
    <t>ורושמים במינוס כי זה סכום לתשלום.</t>
  </si>
  <si>
    <t>20% * 44,000 = 8,800</t>
  </si>
  <si>
    <t>שלב 3 - חישוב NPV</t>
  </si>
  <si>
    <t>Solve NPV=</t>
  </si>
  <si>
    <t>מסקנה: הענ״נ שלילי בסך 166,321.88- ש״ח.</t>
  </si>
  <si>
    <t>הפרויקט איננו כדאי.</t>
  </si>
  <si>
    <t>פתרון נדרש 2 - ״הכל נשאר אותו דבר, אבל מקבלים פטור ממס רווח הון - חשבו מחדש NPV״</t>
  </si>
  <si>
    <t>הערכים נשארים זהים לגמרי... ההבדל היחידי הוא שצריך ״לבטל״ בשנה ה-6 את תשלום מס רווח ההון:</t>
  </si>
  <si>
    <t>לפני השינוי</t>
  </si>
  <si>
    <t>אחרי השינוי</t>
  </si>
  <si>
    <t>מס רווח ההון</t>
  </si>
  <si>
    <t>X</t>
  </si>
  <si>
    <t>עדיין ענ״נ שלילי, עדיין לא כדאי.</t>
  </si>
  <si>
    <t>השינוי היחידי - התזרים האחרון ללא מס רווח הון:</t>
  </si>
  <si>
    <t>תרגיל 2</t>
  </si>
  <si>
    <t xml:space="preserve">חברת ״הופמנים״ שוקלת לבצע פרויקט. ההשקעה הנדרשת עבור הפרויקט בציוד ומכונות היא בסך 250,000 ש״ח. </t>
  </si>
  <si>
    <t xml:space="preserve">אורך חיי הפרויקט הוא 5 שנים (ובהתאם, המכונות והציוד מופחתות על פני 5 שנים). </t>
  </si>
  <si>
    <t>בתום התקופה, ניתן יהיה למכור את שרידי המכונות והציוד בתמורה ל-70,000 ש״ח.</t>
  </si>
  <si>
    <t>הפרויקט צפוי להניב לחברה הכנסות שוטפות בסך 320,000 ש״ח לשנה.</t>
  </si>
  <si>
    <t>בנוסף, הוא דורש עלויות שוטפות שנתיות בסך 75,000 ש״ח.</t>
  </si>
  <si>
    <t>מבדיקה שנערכה עלה, כי ביצוע הפרויקט גם יפגע בהכנסות מפרויקטים אחרים - בהיקף של 60,000 ש״ח לשנה.</t>
  </si>
  <si>
    <t>הפרויקט דורש השקעה בהון חוזר בסך 40,000 ש״ח.</t>
  </si>
  <si>
    <t>נתונים נוספים:</t>
  </si>
  <si>
    <t xml:space="preserve">החברה כפופה למס חברות בשיעור 30%, למס רווחי הון בשיעור 15%, ומחיר ההון השנתי שלה 10%. </t>
  </si>
  <si>
    <t>נדרש: חשבו את ענ״נ הפרויקט וחוו דעתכם - כדאי / לא כדאי?</t>
  </si>
  <si>
    <t>ערך לשנה</t>
  </si>
  <si>
    <t>הצבה</t>
  </si>
  <si>
    <t>שלב 1:</t>
  </si>
  <si>
    <t>הכנסות (שוטפות)</t>
  </si>
  <si>
    <t>+</t>
  </si>
  <si>
    <t>חישוב</t>
  </si>
  <si>
    <t>הוצאות שוטפות (לרבות הפסד אלטרנטיבי)</t>
  </si>
  <si>
    <t>(-)</t>
  </si>
  <si>
    <t xml:space="preserve">75,000 + 60,000 = </t>
  </si>
  <si>
    <t xml:space="preserve">מס </t>
  </si>
  <si>
    <t>הוצאות פחת</t>
  </si>
  <si>
    <t xml:space="preserve">250,000 / 5 = </t>
  </si>
  <si>
    <t>חברות</t>
  </si>
  <si>
    <t>רווח חייב במס - הכנסה חייבת</t>
  </si>
  <si>
    <t>לתשלום</t>
  </si>
  <si>
    <t>%</t>
  </si>
  <si>
    <t>מס חברות לתשלום</t>
  </si>
  <si>
    <t>הצגת תזרימי</t>
  </si>
  <si>
    <t>המזומנים</t>
  </si>
  <si>
    <t>של כלל הפרויקט</t>
  </si>
  <si>
    <t>הוצאות שוטפות</t>
  </si>
  <si>
    <t>בטבלה מפורטת</t>
  </si>
  <si>
    <t>שכוללת כל השנים.</t>
  </si>
  <si>
    <t>סה״כ</t>
  </si>
  <si>
    <t>שלב 3:</t>
  </si>
  <si>
    <t xml:space="preserve">נהוון את תזרימי המזומנים בגין הפרויקט כדי לחשב את שוויו - באמצעות Cash ו - NPV. </t>
  </si>
  <si>
    <t>מחיר ההון הנתון</t>
  </si>
  <si>
    <t xml:space="preserve">Solve NPV = </t>
  </si>
  <si>
    <t>מסקנה: ענ״נ הפרויקט הוא 319,550 ש״ח.</t>
  </si>
  <si>
    <t xml:space="preserve">הואיל והענ״נ (NPV) חיובי (גדול מ-0) הפרויקט כדאי. </t>
  </si>
  <si>
    <t>תרגיל 3</t>
  </si>
  <si>
    <t xml:space="preserve">חברת ״כסאות שבורים״ שוקלת לבצע פרויקט. </t>
  </si>
  <si>
    <t>בעבר, ביצעה החברה לטובת הפרויקט סקר שוק, ושילמה בעדו 70,000 ש״ח.</t>
  </si>
  <si>
    <t>ההשקעה הנדרשת לטובת הפרויקט בציוד מסכמת ב-500,000 ש״ח.</t>
  </si>
  <si>
    <t>הפרויקט הוא ל-4 שנים, והוא מניב הכנסות שוטפות בסכום של 200,000 ש״ח לשנה,</t>
  </si>
  <si>
    <t>וצורך עלויות שוטפות בסך 70,000 ש״ח לשנה.</t>
  </si>
  <si>
    <t xml:space="preserve">הפרויקט גם דורש השקעה בהון חוזר בסך 30,000 ש״ח. </t>
  </si>
  <si>
    <t>מחיר ההון של החברה הוא 10%, מס רווח ההון הוא 15%, מס החברות הוא 30%.</t>
  </si>
  <si>
    <t>בנוסף ידוע כי החברה צופה שתצליח למכור את שרידי הציוד תמורת 40,000 ש״ח בתום הפרויקט.</t>
  </si>
  <si>
    <t>נדרש: הציגו את תזרימי המזומנים של תכנית ההשקעה, חשבו את הענ״נ וחוו דעתכם בדבר כדאיות.</t>
  </si>
  <si>
    <t xml:space="preserve">500,000 / 4 = </t>
  </si>
  <si>
    <t xml:space="preserve">5,000 * 30% = </t>
  </si>
  <si>
    <t>I% = 10</t>
  </si>
  <si>
    <t>ענ״נ הפרויקט - ה- NPV</t>
  </si>
  <si>
    <t xml:space="preserve">הואיל וענ״נ הפרויקט שלילי (NPV) לא כדאי לבצעו. </t>
  </si>
  <si>
    <t>תרגיל 4</t>
  </si>
  <si>
    <t xml:space="preserve">חברה שוקלת לבצע פרויקט. </t>
  </si>
  <si>
    <t>לשם בדיקת כדאיות מקדמית לפרויקט, ביצעה בעבר סקר שוק.</t>
  </si>
  <si>
    <t>התשלום הראשון בעד סקר השירות (לסוקר, תשלום יוצא) בוצע לפני שנה בסך 50,000 ש״ח.</t>
  </si>
  <si>
    <t>תשלום נוסף בגין אותו סקר שנערך בעבר עליה לשלם בעוד שנתיים מהיום בסך 70,000 ש״ח.</t>
  </si>
  <si>
    <t>הפרויקט ידרוש השקעה בסך 300,000 ש״ח בציוד.</t>
  </si>
  <si>
    <t>משך הפרויקט 4 שנים, ובסופו צפויה מכירת שרידי הציוד תמורת 35,000 ש״ח.</t>
  </si>
  <si>
    <t>הפרויקט צורך עלויות שוטפות בסך 40,000 ש״ח לשנה.</t>
  </si>
  <si>
    <t>הפרויקט יניב הכנסות שנתיות שוטפות בסך 188,000 ש״ח לשנה.</t>
  </si>
  <si>
    <t>ידוע כי הפרויקט ידרוש במבנה משרדים המושכר כרגע לגורמים חיצוניים, ומניב הכנסות שכירות שנתיות בסך 37,000 ש״ח לשנה.</t>
  </si>
  <si>
    <t xml:space="preserve">לשם ביצוע הפרויקט - תצטרך החברה לפנות את הדיירים מהמבנה למשך כל תקופתו. </t>
  </si>
  <si>
    <t>הפרויקט יעסיק את מנכ״ל החברה. לפיכך, הוא לא יהיה פנוי לתפעל פרויקטים אחרים, שההכנסה השנתית מהם 20,000 ש״ח.</t>
  </si>
  <si>
    <t>הפרויקט דורש הון חוזר בסך 75,000 ש״ח.</t>
  </si>
  <si>
    <t>מחיר ההון של החברה 8%, שיעור מס החברות 30% ושיעור מס רווחי ההון 12%.</t>
  </si>
  <si>
    <t xml:space="preserve">נדרש: הציגי את תזרימי המזומנים של הפרויקט וחווי דעתך בדבר כדאיותו. </t>
  </si>
  <si>
    <t xml:space="preserve">40,000 + 37,000 + 20,000 = </t>
  </si>
  <si>
    <t xml:space="preserve">300,000 / 4 = </t>
  </si>
  <si>
    <t>Csh. D. Editor &gt;&gt;&gt;&gt;&gt;&gt;</t>
  </si>
  <si>
    <t>תרגיל 5</t>
  </si>
  <si>
    <t>חברה שוקלת לבצע פרויקט. הפרויקט דרש מהחברה לשלם בעבר עבור אגרות והיטלים (נדרש לצורך בדיקת התכנות ראשונית) בסך 100,000 ש״ח.</t>
  </si>
  <si>
    <t>הפרויקט דורש השקעה בציוד בסך 400,000 ש״ח, ומשך הפרויקט 4 שנים.</t>
  </si>
  <si>
    <t>בסיום הפרויקט, ניתן יהיה למכור את שרידי הציוד תמורת 77,000 ש״ח.</t>
  </si>
  <si>
    <t>ההכנסות השנתיות מהפרויקט הן בסך 70,000 ש״ח לשנה הראשונה, והן צפויות לגדול ב-30% לשנה (בכל שנה עלייה בהכנסות של 30% ביחס</t>
  </si>
  <si>
    <t xml:space="preserve">לשנה הקודמת). </t>
  </si>
  <si>
    <t>העלויות השוטפות בפרויקט הן בסך 20,000 ש״ח לשנה הראשונה, והן צפויות לגדול ל-40,000 ש״ח בכל אחת מהשנים לאחר מכן.</t>
  </si>
  <si>
    <t>החברה סבורה שביצוע הפרויקט יחשוף אותה לקהל לקוחות חדש, ויאפשר לה להגדיל את היקפי הפעילות והמכירות גם בפרויקטים אחרים.</t>
  </si>
  <si>
    <t>החברה מעריכה את סכום הגידול השנתי בהכנסות בפרויקטים האחרים שינבע מביצוע הפרויקט הנדון ב-15,000 ש״ח לשנה.</t>
  </si>
  <si>
    <t>הפרויקט דורש השקעה בהון חוזר בסך 12,000 ש״ח, והחברה פטורה ממס רווח הון.</t>
  </si>
  <si>
    <t>שיעור מס החברות 25%. מחיר ההון: 10% לשנה.</t>
  </si>
  <si>
    <t>חוו דעתכם לגבי כדאיות הפרויקט על בסיס חישוב הענ״נ שלו.</t>
  </si>
  <si>
    <t>הצבה 1</t>
  </si>
  <si>
    <t>הצבה 2</t>
  </si>
  <si>
    <t>הצבה 3</t>
  </si>
  <si>
    <t>הצבה 4</t>
  </si>
  <si>
    <t>Cash</t>
  </si>
  <si>
    <t>הפרויקט לא כדאי</t>
  </si>
  <si>
    <t>מפגש 13 - 19.6.2022 - שאלות חזרה עם פתרונות ופרידה מרגשת</t>
  </si>
  <si>
    <t>רקע ומטרות המפגש:</t>
  </si>
  <si>
    <t>תזכורת בדבר מבנה הבחינה וסגנונה, חומר עזר וכו׳.</t>
  </si>
  <si>
    <t>הדרכה לקראת הבחינה ומיקוד בלמידה.</t>
  </si>
  <si>
    <t>הפניה לחומרי האתר - מבחנים לדוגמא ומענה לשאלות תוך כדי תנועה.</t>
  </si>
  <si>
    <t xml:space="preserve">פתרון מגוון שאלות מייצגות לקראת הבחינה, במגוון רמות קושי, על בסיס פתרון מלא כדי לייעל את התהליך. </t>
  </si>
  <si>
    <t>פותרים בלי לחץ. יש פתרון יחסית מורחב לכל השאלות. המטרה היא באיזי ובכיף.</t>
  </si>
  <si>
    <t>מבנה:</t>
  </si>
  <si>
    <t>הניקוד יינתן על התשובה הסופית בלבד.</t>
  </si>
  <si>
    <t>הכנה לבחינה:</t>
  </si>
  <si>
    <t>כל חומרי השיעורים ללא יוצא מן הכלל.</t>
  </si>
  <si>
    <t>מבחנים לדוגמא - באתר.</t>
  </si>
  <si>
    <r>
      <t xml:space="preserve">שאלות לגבי </t>
    </r>
    <r>
      <rPr>
        <b/>
        <sz val="11"/>
        <color theme="1"/>
        <rFont val="David"/>
        <family val="2"/>
        <charset val="177"/>
      </rPr>
      <t>השיעורים</t>
    </r>
    <r>
      <rPr>
        <sz val="11"/>
        <color theme="1"/>
        <rFont val="David"/>
        <family val="2"/>
        <charset val="177"/>
      </rPr>
      <t xml:space="preserve"> והנעשה בהם - להפנות למרצה בחדווה רבה.</t>
    </r>
  </si>
  <si>
    <t>שאלה 1 - AKA דני אכל אותה, אל תגידו שלא ידע, לנצח דני אוכל אותה...</t>
  </si>
  <si>
    <t>פתרון שאלה 1</t>
  </si>
  <si>
    <t>הכיוון הכללי של הפתרון למעשה דורש ניקוי רעשים בתור התחלה. יש המון סיפורים באמת מסמרי שיער על כמה שדני</t>
  </si>
  <si>
    <t>שלנו מסכן ואוכל אותה, אבל מה שחשוב לנו הוא לדעת מהם תזרימי המזומנים ומהם עיתויים. ואם נתייחס ל-1.1.2020</t>
  </si>
  <si>
    <t>כנקודת בסיס, הרי ש:</t>
  </si>
  <si>
    <t>החמוד מקבל 2 משכורות בתום ינואר ובתום פברואר בסך 11,500 למשכורת.</t>
  </si>
  <si>
    <t>החמוד מקבל 2 משכורות בתום מאי ובתום יוני בסך 9,775 ש״ח (85% מ-11,500) למשכורת.</t>
  </si>
  <si>
    <t>החמוד צורך 5,000 ש״ח בתום כל חודש, החל מתום ינואר עד תום יוני כולל, סה״כ 6 תזרימי הוצאה.</t>
  </si>
  <si>
    <t xml:space="preserve">כך שההליך החישובי ידרוש ערך עתידי לזמן 2, של המשכורות הרגילות, שאותו נקדם לזמן 4, של החזרה לפעילות, </t>
  </si>
  <si>
    <t>ואותן נקדם לזמן 6 בהתחשב בשכר החדש. בנוסף, כדאי להתייחס לתזרימי ההוצאה בנטו ( כתזרימי הכנסה שליליים)</t>
  </si>
  <si>
    <r>
      <t xml:space="preserve">וכך לקצר את התחשיב. בנוסף יש לשים לב </t>
    </r>
    <r>
      <rPr>
        <b/>
        <sz val="11"/>
        <color rgb="FF7030A0"/>
        <rFont val="David"/>
        <family val="2"/>
        <charset val="177"/>
      </rPr>
      <t>שהריבית האפקטיבית היא 12.68% לשנה, מה שמרמז על ריבית אפקטיבית</t>
    </r>
  </si>
  <si>
    <r>
      <rPr>
        <b/>
        <sz val="11"/>
        <color rgb="FF7030A0"/>
        <rFont val="David"/>
        <family val="2"/>
        <charset val="177"/>
      </rPr>
      <t>חודשית של 1% לחודש, לפי: 1% =1 - (1/12)^(12.68% + 1).</t>
    </r>
    <r>
      <rPr>
        <sz val="11"/>
        <color theme="1"/>
        <rFont val="David"/>
        <family val="2"/>
        <charset val="177"/>
      </rPr>
      <t xml:space="preserve"> </t>
    </r>
  </si>
  <si>
    <t>לבסוף, הואיל והכסף מופקד בבנק, וההפקדות צוברות ריבית, התייחסתי לסכומים שהחמוד מקבל בסימן שלילי, שהרי</t>
  </si>
  <si>
    <t xml:space="preserve">מופקדים לבנק ולא נצרכים. לעומת זאת, להוצאותיו התייחסתי בסימן חיובי. אפשר גם לעבוד הפוך, העיקר שיישמר </t>
  </si>
  <si>
    <t>סימן הפוך בין הפקדות לבנק לבין הוצאות.</t>
  </si>
  <si>
    <t>מאי-יוני</t>
  </si>
  <si>
    <t>מרס-אפריל</t>
  </si>
  <si>
    <t>ינואר-פברואר</t>
  </si>
  <si>
    <t>מקום להסברים נוספים כפי בקשת הקהל (אם תצטרכו):</t>
  </si>
  <si>
    <t>שאלה 2 - ג׳ון סונואו, חאליסי וחלופות לתשלום בעד מוצר / שירות</t>
  </si>
  <si>
    <t>פתרון שאלה 2</t>
  </si>
  <si>
    <t>הכיוון הכללי אומר: כאשר עלינו לבחור בין חלופות לתשלום בעד הנכס, עלינו לחשב ערך נוכחי לתשלומים בכל חלופה.</t>
  </si>
  <si>
    <t xml:space="preserve">ערך נוכחי זה משקף את עלות החלופה ב״מונחי מזומן״ בהתחשב בעלות הזמן / מחיר ההון / הריבית האפקטיבית. </t>
  </si>
  <si>
    <t>בחלופה 1, הערך הנוכחי ברור: זהו סכום התשלום המיידי במזומן.</t>
  </si>
  <si>
    <t>בחלופת ב ו-ג, עלינו לחשב ערך נוכחי על בסיס הכלים הטכניים המתאימים - PV ו - NPV, תלוי באם מדובר במצב</t>
  </si>
  <si>
    <t xml:space="preserve">שבו התזרימים קבועים או משתנים. למעשה, בחלופות ב ו-ג במקרה זה, בכל מקרה נוח יותר לעבוד במונחים של NPV </t>
  </si>
  <si>
    <t>הואיל ובכל מקרה בונים את הטבלה בצורה חודשית. כדלקמן:</t>
  </si>
  <si>
    <t>זמן/חודש</t>
  </si>
  <si>
    <t xml:space="preserve">NPV = </t>
  </si>
  <si>
    <t>היקר ביותר</t>
  </si>
  <si>
    <t>ביניים</t>
  </si>
  <si>
    <t>הזול ביותר</t>
  </si>
  <si>
    <t>איציק ספנסיב</t>
  </si>
  <si>
    <t>פער בין היקר לזול - תשובה סופית:</t>
  </si>
  <si>
    <t>הערה: הריבית האפקטיבית החודשית שסייעה לנו בחישוב היא:</t>
  </si>
  <si>
    <t xml:space="preserve">(1+6.168%)^(1/12) - 1 = </t>
  </si>
  <si>
    <t>שאלה 3 - קוקוריקו וחישוב ערך נוכחי באינטרוול זמן - והתאמת ריבית לחישוב</t>
  </si>
  <si>
    <t>פתרון שאלה 3</t>
  </si>
  <si>
    <t xml:space="preserve">מדובר בחישוב ערך נוכחי פשוט ופשטני: 4 תזרימי מזומנים, בסך 800 מיליון כל אחד, בתדירות של אחת לשנתיים - </t>
  </si>
  <si>
    <t>מה שמצריך את התאמת הריבית (שבמונחים ״להיוון״ היא לעולם במונחים אפקטיביים) משנה לשנתיים פשוט משום</t>
  </si>
  <si>
    <t>שזהו פרק הזמן בין תזרימי המזומנים. כך מקבלים, בסבבה:</t>
  </si>
  <si>
    <t xml:space="preserve">(1 + 6%)^2 - 1 = </t>
  </si>
  <si>
    <t>אבל, יש פה קאץ׳: חישוב ערך נוכחי של סדרה תמיד מוביל תקופת תשלום אחת אחורה ביחס לתחילתה. והואיל</t>
  </si>
  <si>
    <t xml:space="preserve">והתשלום הראשון בעוד שנה, ופרק הזמן בין כל 2 תשלומים עוקבים הוא כל שנתיים, קופצים לאחור לזמן 1-, </t>
  </si>
  <si>
    <t xml:space="preserve">ולכן נדע שלאחר החישוב הראשוני עלינו לתאם את התוצאה שנה אחת קדימה. </t>
  </si>
  <si>
    <t>מפה והלאה החיים דבש והמענה מהיר במיוחד:</t>
  </si>
  <si>
    <t>חישוב לזמן 0</t>
  </si>
  <si>
    <t>חישוב לזמן 1-</t>
  </si>
  <si>
    <t>מסובך מדי? יש עוד דרך:</t>
  </si>
  <si>
    <t>זמן בשנים</t>
  </si>
  <si>
    <t>בום! שאקלקה</t>
  </si>
  <si>
    <t>שאלה 4 - הלוואה הנפדית בתשלום אחד ויחיד, כולל חישוב ריבית דריבית במצבי ריבית משתנה</t>
  </si>
  <si>
    <t>פתרון שאלה 4</t>
  </si>
  <si>
    <t>האמת? אפשר להשתמש בנוסחת FV, שוב ושוב ושוב. או להשתמש בנוסחה המתמטית. אני אשתמש כאן בנוסחת ה - FV</t>
  </si>
  <si>
    <t xml:space="preserve">דווקא, פשוט משום שבגיליון עצמו, אין פה עבודה רבה מדי. </t>
  </si>
  <si>
    <t>שנים 4,5</t>
  </si>
  <si>
    <t>שנים 1,2</t>
  </si>
  <si>
    <t>שאלה 5 - ערך נוכחי של תקבולים כ״שווה מזומן״ שלהם</t>
  </si>
  <si>
    <t>פתרון שאלה 5 - ערך נוכחי של תקבולים לשם בחירה בין חלופות</t>
  </si>
  <si>
    <t>למעשה, מציעים כאן חלופת מזומן במקום תשלומים מוגדרים, בהינתן ריבית. כדי שקרן המלגות לא תפגע, הרי נדרש</t>
  </si>
  <si>
    <t>כי הערך הנוכחי של חלופת התשלומים הוא זה שישולם במזומן. יש לשים לב שמדובר בערך נוכחי של 2 סדרות, ואישית,</t>
  </si>
  <si>
    <t>אנחנו אוהבים לעבוד במצב כזה ״מהסוף להתחלה״:</t>
  </si>
  <si>
    <t>תשלומים 1-4</t>
  </si>
  <si>
    <t>תשלומים 5-8</t>
  </si>
  <si>
    <t>דרך פתרון נוספת - גישת ״בת ים״ (הואיל ואין מספר רב של תשלומים, והריבית קבועה) - NPV</t>
  </si>
  <si>
    <t>חשוב: התשלומים בתחילת כל חודש - לכן מיקומם יהיה מוקדם מהטבעי:</t>
  </si>
  <si>
    <r>
      <t xml:space="preserve">אלא </t>
    </r>
    <r>
      <rPr>
        <b/>
        <sz val="11"/>
        <color rgb="FFFF0000"/>
        <rFont val="David"/>
        <family val="2"/>
        <charset val="177"/>
      </rPr>
      <t>שכאן</t>
    </r>
    <r>
      <rPr>
        <b/>
        <sz val="11"/>
        <color theme="1"/>
        <rFont val="David"/>
        <family val="2"/>
        <charset val="177"/>
      </rPr>
      <t xml:space="preserve">
המלגה בתחילת
כל חודש</t>
    </r>
  </si>
  <si>
    <t>אם המלגה 
היתה בסוף
כל חודש</t>
  </si>
  <si>
    <t>התוצאה:</t>
  </si>
  <si>
    <t>שאלה 6 - מימון סדרת משיכות באמצעות הפקדה חד פעמית</t>
  </si>
  <si>
    <t>פתרון שאלה 6</t>
  </si>
  <si>
    <t>כדי לממן סדרת משיכות / תשלומים באמצעות הפקדה בודדת, נדרש שסכום ההפקדה יהווה את הערך הנוכחי של סדרת</t>
  </si>
  <si>
    <t>תשלומים זו. בהתאם, והואיל וישנם תשלומים שונים, נפצלם לסדרות שונות ונעבוד ״מהסוף להתחלה״:</t>
  </si>
  <si>
    <t>תשלומים 1-6</t>
  </si>
  <si>
    <t>תשלומים 7-12</t>
  </si>
  <si>
    <t>תשלומים 13-24</t>
  </si>
  <si>
    <t>שאלה 7 - בחירה בין חלופות על בסיס ריבית אפקטיבית בכל חלופה</t>
  </si>
  <si>
    <t>פתרון שאלה 7</t>
  </si>
  <si>
    <t>הזולה ביותר, העדיפה</t>
  </si>
  <si>
    <t xml:space="preserve">(1 + 6%/4)^4 - 1 = </t>
  </si>
  <si>
    <t xml:space="preserve">1 / (1-6%) - 1 = </t>
  </si>
  <si>
    <t>חלופה 3:</t>
  </si>
  <si>
    <t>(1 + 0.55%)^12 - 1 =</t>
  </si>
  <si>
    <t>חלופה 4:</t>
  </si>
  <si>
    <t xml:space="preserve">(1 + 2%/2)^2/(1 - 4%) - 1 = </t>
  </si>
  <si>
    <t>חלופה 5:</t>
  </si>
  <si>
    <t xml:space="preserve">הלוואה 1: כאשר מדובר בריבית נקובה שנתית של 6% המחושבת כל רבעון, השלב הראשון הוא לחלק את הריבית ב-4, כדי </t>
  </si>
  <si>
    <t>להגיע לריבית בסיס לתקופת חישוב אחת. זהו למעשה החלק של R/n בנוסחה:</t>
  </si>
  <si>
    <r>
      <t xml:space="preserve">(1 + </t>
    </r>
    <r>
      <rPr>
        <b/>
        <sz val="11"/>
        <color rgb="FFFF0000"/>
        <rFont val="David"/>
        <family val="2"/>
        <charset val="177"/>
      </rPr>
      <t>R/n</t>
    </r>
    <r>
      <rPr>
        <sz val="11"/>
        <color theme="1"/>
        <rFont val="David"/>
        <family val="2"/>
        <charset val="177"/>
      </rPr>
      <t xml:space="preserve">)^m - 1 </t>
    </r>
  </si>
  <si>
    <t>לאחר החלוקה, שממירה את הריבית לרבעון, אנו שואלים את עצמנו - מה מעריך החזקה? לאיזו תקופה עלינו להמיר באופן</t>
  </si>
  <si>
    <t xml:space="preserve">כולל את הריבית? הואיל והעסקה לשנה, המעריך הוא 4, כי יש 4 רבעונים בשנה. </t>
  </si>
  <si>
    <t>הלוואה 2: כאשר הלוואה כוללת ניכוי מראש, המבנה הבסיסי של החישוב דורש לדעת כמה נחזיר בתום התקופה וכמה נקבל</t>
  </si>
  <si>
    <t xml:space="preserve">נטו בתחילתה, בהתחשב בניכוי מראש. במקרה זה, סכום ההלוואה לא ידוע. ניתן ״להניח״ שסכום ההלוואה הוא 1 ש״ח. </t>
  </si>
  <si>
    <t>אנו טוענים שעל כל 1 ש״ח הלוואה צריך להחזיר 1 ש״ח ״בסוף״ (המונה) אך על כל 1 ש״ח כזה מקבלים בנטו היום (במכנה)</t>
  </si>
  <si>
    <t xml:space="preserve">את הסכום שהוא 1 פחות הניכוי מראש, אחת פחות 6%. </t>
  </si>
  <si>
    <t>הלוואה 3: כברירת מחדל, הריבית החודשית הנתונה אפקטיבית, ולכן תומר באמצעות מעריך חזקה 12 לשנה.</t>
  </si>
  <si>
    <t>הלוואה 4: המונה כולל חישוב ריבית דריבית חצי שנתית, המכנה כולל התייחסות לניכוי מראש, נתון ששיעור הניכוי מראש 4%,</t>
  </si>
  <si>
    <t xml:space="preserve">ולכן המכנה קטן בשיעור זה. </t>
  </si>
  <si>
    <t>שאלה 8 - חישוב ריבית אפקטיבית עם שילוב סכומים כספיים ויחסיים</t>
  </si>
  <si>
    <t>פתרון שאלה 8</t>
  </si>
  <si>
    <t>הבסיס להבנת השאלה והיישום כאן קשור לתובנה אחת פשוטה ולבבית: בכל עסקה מורכבת, מרובת אלמנטים, שבמסגרתה</t>
  </si>
  <si>
    <t>נדרש חישוב הריבית האפקטיבית, נייצר תהליך מובנה לחישוב התזרימים בתחילת העסקה ובסיומה, והפרופורציה ביניהם</t>
  </si>
  <si>
    <r>
      <t xml:space="preserve">פחות אחת היא הריבית האפקטיבית </t>
    </r>
    <r>
      <rPr>
        <b/>
        <sz val="11"/>
        <color theme="1"/>
        <rFont val="David"/>
        <family val="2"/>
        <charset val="177"/>
      </rPr>
      <t>לתקופת העסקה</t>
    </r>
    <r>
      <rPr>
        <sz val="11"/>
        <color theme="1"/>
        <rFont val="David"/>
        <family val="2"/>
        <charset val="177"/>
      </rPr>
      <t>: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</si>
  <si>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-100,000 * (1 + 4.8%/2) = </t>
    </r>
  </si>
  <si>
    <t>הלוואה</t>
  </si>
  <si>
    <t>מענק</t>
  </si>
  <si>
    <t>עמלת פתיחת תיק</t>
  </si>
  <si>
    <t>תזרים נטו - זמן 0</t>
  </si>
  <si>
    <t>ריבית אפקטיבית חצי שנתית (ציר):</t>
  </si>
  <si>
    <t xml:space="preserve">102,170 / 98,500 - 1 = </t>
  </si>
  <si>
    <t>דרשו ריבית אפקטיבית שנתית:</t>
  </si>
  <si>
    <t xml:space="preserve">(1 + 3.7259%)^2 - 1 = </t>
  </si>
  <si>
    <t>למיטיבי לכת, אפשר כמובן לפתור גם מתמטית טהור ללא ציר:</t>
  </si>
  <si>
    <t>ריבית חצי שנתית:</t>
  </si>
  <si>
    <t xml:space="preserve">[100,000 * (1 + 4.8%/2) - 230] / [100,000 * (1 - 1.5%)] - 1 = </t>
  </si>
  <si>
    <t>המרה לשנה:</t>
  </si>
  <si>
    <t>שאלה 9 - הלוואת שפיצר עם גרייס (דחייה במועד התשלום הראשון)</t>
  </si>
  <si>
    <t>פתרון שאלה 9 - הלוואת שפיצר עם גרייס</t>
  </si>
  <si>
    <t>בשאלות שפיצר (תשלומים חודשיים קבועים) עם גרייס (דחייה במועד התחלת התשלומים) יש לחשב את יתרת ההלוואה</t>
  </si>
  <si>
    <t>כולל צבירת ריבית תקופת תשלום אחת (וכאן - חודש) טרם התשלום הראשון, ועל סכום זה להפעיל את חישובי ההלוואה</t>
  </si>
  <si>
    <t>המקובלים. במקרה זה, נחשב FV רלוונטי ל-50,000 ש״ח לתקופת גרייס של 5 חודשים בכפוף לריבית חודשית של 1%</t>
  </si>
  <si>
    <t>משום שהריבית החודשית נקובה (ולא אפקטיבית) ולפיכך מחושבת פעם בחודש (פעם בתקופת תשלום) כברירת מחדל:</t>
  </si>
  <si>
    <t>חישוב יתרת גרייס</t>
  </si>
  <si>
    <t>שאלה 10 - שינוי לוח הסילוקין</t>
  </si>
  <si>
    <t>פתרון שאלה 10 - שינוי לוח הסילוקין</t>
  </si>
  <si>
    <t>כאשר מבוצע שינוי הלוח, יש לחשב את יתרת ההלוואה למועד השינוי, ולהתייחס אליה כאל הלוואה חדשה לחלוטין שתפרס</t>
  </si>
  <si>
    <t xml:space="preserve">ממועד השינוי ואילך על בסיס פרמטרי ההלוואה המעודכנים. </t>
  </si>
  <si>
    <t>תחילה, נחשב את יתרת ההלוואה לאחר 5 תשלומים שנתיים שווים של קרן:</t>
  </si>
  <si>
    <t xml:space="preserve">100,000 * 10/15 = </t>
  </si>
  <si>
    <t>כעת נחשב את התשלום התקופתי על חשבון הקרן בלוח שפיצר על בסיס פונקציית PPMT:</t>
  </si>
  <si>
    <t>שאלה 11 - חישוב סכום על חשבון ריבית בלוח שפיצר</t>
  </si>
  <si>
    <t>פתרון שאלה 11</t>
  </si>
  <si>
    <t xml:space="preserve">הבעיה היחידה היא שסכום ההלוואה לא ידוע. אלא שלגמרי קל לחשב את סכום ההלוואה על בסיס הערך הנוכחי של </t>
  </si>
  <si>
    <t>התשלומים.</t>
  </si>
  <si>
    <t>סכום הלוואה</t>
  </si>
  <si>
    <t>עכשיו אפשר להשתמש בפונקציית iPMT כדי לחשב את הריבית בתשלום 18:</t>
  </si>
  <si>
    <t>שאלה 12 - פרויקטים המוציאים זה את זה</t>
  </si>
  <si>
    <t>פתרון שאלה 12 - פרויקטים המוציאים זה את זה</t>
  </si>
  <si>
    <t>נציג את הפרויקטים בצורה נוחה לעיבוד, נעבור היגד היגד ונבחן זאת.</t>
  </si>
  <si>
    <t>מחיר הון - היגד 2</t>
  </si>
  <si>
    <t>מחיר הון - היגד 3</t>
  </si>
  <si>
    <t>ערך NPV היגד 2</t>
  </si>
  <si>
    <t>קרי במחיר הון של 10% שווי פרויקט A גבוה יותר ולכן יועדף</t>
  </si>
  <si>
    <t>ערך NPV היגד 3</t>
  </si>
  <si>
    <t>אם מחיר ההון של מורן 15.47% עדיף לה למנע מביצוע הפרויקטים</t>
  </si>
  <si>
    <t>שאלה 13 - הלוואה עם הצמדה</t>
  </si>
  <si>
    <t>פתרון שאלה 13 - הלוואה עם הצמדה</t>
  </si>
  <si>
    <t xml:space="preserve">התשלומים התקופתיים קבועים - לוח שפיצר. בשלב ראשון נחשב את התשלום התקופתי לפני הצמדה, על בסיסו נחשב </t>
  </si>
  <si>
    <t>את יתרת ההלוואה לאחר 120 תשלומים על בסיס הערך הנוכחי של התשלומים שנותרו (לפני הצמדה), ולבסוף - ״נלביש״</t>
  </si>
  <si>
    <t>את ההצמדה. תמיד ההתייחסות להצמדה היא בשלב האחרון.</t>
  </si>
  <si>
    <t>חישוב תשלום תקופתי:</t>
  </si>
  <si>
    <t>חישוב יתרת הלוואה לפני הצמדה:</t>
  </si>
  <si>
    <t>חישוב יתרת הלוואה כולל הצמדה:</t>
  </si>
  <si>
    <t xml:space="preserve">702,973 * (1 + 1%)^5 * (1 + 2%)^2 * (1 + 0%)^3 = </t>
  </si>
  <si>
    <t xml:space="preserve">פונקציית NPV יודעת לעבד טבלת תזרימים מפורטת של פרויקט, </t>
  </si>
  <si>
    <t>ולהחזיר כפלט / תוצאה את השווי הנוכחי (ערך להיום) נטו, בהתחשב</t>
  </si>
  <si>
    <t>בכל התזרימים, ההשקעות, העיתוי והריבית.</t>
  </si>
  <si>
    <t>בהיעדר אילוצים - NPV חיובי מעיד על כדאיות!</t>
  </si>
  <si>
    <t>רשות:</t>
  </si>
  <si>
    <t>שאלה 3 - חישוב שת״פ - IRR  - Internal Rate of Return ובעברית: שיעור תשואה פנימי</t>
  </si>
  <si>
    <t xml:space="preserve">מסקנה: בהנחה שמחיר ההון 15% (ערך שרירותי שמעל 9.7% ומתחת ל-60.74%) מועדף פרויקט B. </t>
  </si>
  <si>
    <t xml:space="preserve">להלן תוצג מערכת צירים אשר צירה האנכי הוא ה - NPV (השווי) ואשר צירה האופקי הוא מחיר ההון (rate). </t>
  </si>
  <si>
    <t>מעבר לכך, לעקום יש נקודות חיתוך עם הצירים, אשר יאופיינו בהרחבה להלן:</t>
  </si>
  <si>
    <t>דירוג לפי PI</t>
  </si>
  <si>
    <t xml:space="preserve">ערך ה- PI, מדד הרווחיות (Profitability Index) זוהי הפרופורציה הפשוטה שבין ה - NPV לבין הערך המוחלט של סכום ההשקעה. </t>
  </si>
  <si>
    <t>ככלל, מדד רווחיות חיובי משמעו כדאיות וענ״נ חיובי, ואולם בהינתן מגבלת תקציב להשקעות חשיבותו גבוהה במיוחד שכן מייצג עד כמה</t>
  </si>
  <si>
    <t>ה-NPV של פרויקט A:</t>
  </si>
  <si>
    <t>ה-NPV של פרויקט B:</t>
  </si>
  <si>
    <t xml:space="preserve">כמובן שיש להעדיף את פרויקט B, שכן הענ״נ שלו מירבי. </t>
  </si>
  <si>
    <t>ה- IRR של A:</t>
  </si>
  <si>
    <t>ה- IRR של B:</t>
  </si>
  <si>
    <t>התכנית שתועדף היא תכנית A. במקרה של פרויקטים המוציאים זה את זה ללא אפשרות שכפול / חזרה, כלל הענ״נ הוא זה שיוביל להכרעה</t>
  </si>
  <si>
    <t xml:space="preserve">שמניבה את התוצאה הטובה ביותר לחברה מבחינה כלכלית. </t>
  </si>
  <si>
    <t>תחילה, יש לחשב את מדד הרווחיות לפי היחס שבין ה - NPV לבין הערך המוחלט של סכום ההשקעה, ולדרג את ההשקעות לפי PI בסדר</t>
  </si>
  <si>
    <t>יורד.</t>
  </si>
  <si>
    <t>Rank by PI</t>
  </si>
  <si>
    <t>לאחר מכן, יש לתקצב את סכום ההשקעה הכולל בין הפרויקטים, כאשר הקצאה מלאה תגדיל את הענ״נ במלוא ה - NPV של הפרויקט</t>
  </si>
  <si>
    <t>והקצאה חלקית תגדיל את הענ״נ באופן יחסי לסכום ההשקעה שניתן להשקיע בפרויקט:</t>
  </si>
  <si>
    <t>פתרון (הדרכה לסטודנטים בכיתה - מחקו תחילה את כל נתוני הטבלאות מטה כדי שתוכלו לפתור בעצמכם):</t>
  </si>
  <si>
    <t>שאלה 12 - הצגה גרפית</t>
  </si>
  <si>
    <t>מכונת חימום נקניק מסוג א</t>
  </si>
  <si>
    <t>מכונת חימום נקניק מסוג ב</t>
  </si>
  <si>
    <t>עלות בזמן 0</t>
  </si>
  <si>
    <t>תזרים זמן 1</t>
  </si>
  <si>
    <t>תזרים זמן 2</t>
  </si>
  <si>
    <t>תזרים זמן 3</t>
  </si>
  <si>
    <t>תזרים זמן 4</t>
  </si>
  <si>
    <t>הסבירו בקצרה את המסקנות - מהו מחיר ההון שבו יועדף כל אחד מהם.</t>
  </si>
  <si>
    <t>irr</t>
  </si>
  <si>
    <t>sum of cf</t>
  </si>
  <si>
    <t>investment</t>
  </si>
  <si>
    <t>נחשב סכום השקעה, IRR וכן סיכום תזרימים לכל פרויקט, אבל גם את ההפרש ביניהם:</t>
  </si>
  <si>
    <t>ב בניכוי א</t>
  </si>
  <si>
    <t xml:space="preserve">הפרויקט ה״הפרשי״, קרי ב בניכוי א, איננו פרויקט העומד בפני עצמו אלא כלי להגיע לנקודת החיתוך בין עקומי הענ״נ של הפרויקטים A ו- B. </t>
  </si>
  <si>
    <t>ברגע שמחיר ההון בנקודת החיתוך זוהה, אפשר להסיק מסקנה פשוטה:</t>
  </si>
  <si>
    <t xml:space="preserve">פרויקט א יועדף במחירי הון שמעל 10.17%. </t>
  </si>
  <si>
    <t>פרויקט ב יועדף במחירי הון שמתחת ל-10.17%.</t>
  </si>
  <si>
    <t xml:space="preserve">במחיר הון של 10.17% בדיוק, הפרויקטים שקולים. </t>
  </si>
  <si>
    <t>מפגש 13 - 18.6.2023 - עם פתרונות - בניית תזרימי מזומנים (ארוך, אבל נציג רק חלק מהתרגילים  - ליתר יש פתרון מלא)</t>
  </si>
  <si>
    <t>שאלה 6 - הצגה סכמטית של עקום הענ״נ NPV והקשר שלו למחיר ההון + הנקודות עליו</t>
  </si>
  <si>
    <r>
      <t xml:space="preserve">לימין, </t>
    </r>
    <r>
      <rPr>
        <b/>
        <sz val="11"/>
        <color rgb="FFFF0000"/>
        <rFont val="David"/>
        <family val="2"/>
        <charset val="177"/>
      </rPr>
      <t>ונקודת החיתוך שלו עם הציר</t>
    </r>
  </si>
  <si>
    <t>נק׳ חיתוך</t>
  </si>
  <si>
    <t>עם ציר אנכי</t>
  </si>
  <si>
    <t>סיכום תזרימים</t>
  </si>
  <si>
    <t>עם ציר אופקי</t>
  </si>
  <si>
    <t>ערך מינימלי:</t>
  </si>
  <si>
    <t>בזמן 0</t>
  </si>
  <si>
    <t xml:space="preserve">ניתן לראות מהתרשים שפרויקט B (האדום) עדיף בכל מחיר הון חיובי, הואיל ובכל ערך של הציר האופקי, ענ״נ B גבוה יותר </t>
  </si>
  <si>
    <r>
      <rPr>
        <b/>
        <sz val="11"/>
        <rFont val="David"/>
        <family val="2"/>
        <charset val="177"/>
      </rPr>
      <t>PI</t>
    </r>
    <r>
      <rPr>
        <sz val="11"/>
        <rFont val="David"/>
        <family val="2"/>
        <charset val="177"/>
      </rPr>
      <t xml:space="preserve"> = Profitability Index
מדד הרווחיות
מחושב לפי
NPV
חלקי
ערך מוחלט של השקעה</t>
    </r>
  </si>
  <si>
    <t>כדלקמן (מתחילים מתקציב השקעה כולל של 500 כנתון):</t>
  </si>
  <si>
    <t xml:space="preserve">מסקנה: הפתרון האופטימלי לחברה הוא להשקיע בפרויקט D, A, B וכן לרכוש 2/3 מפרויקט C. </t>
  </si>
  <si>
    <t>שאלות לגבי התרגולים - נא להפנות למתרגלת האגדית, במידה וסוגיה לא מצאה פתרונה ניתן לפנות אליי כבג״ץ.</t>
  </si>
  <si>
    <t>הבחינה עם חומר פתוח!!! כל חומר עזר כתוב מותר בשימוש. לא ניתן להשתמש במחשבון (כל החישובים באקסל).</t>
  </si>
  <si>
    <r>
      <t xml:space="preserve">הבחינה תתקיים כולל גישה ל - Excel במעבדות / במחשב האישי </t>
    </r>
    <r>
      <rPr>
        <u/>
        <sz val="11"/>
        <color theme="1"/>
        <rFont val="David"/>
        <family val="2"/>
        <charset val="177"/>
      </rPr>
      <t xml:space="preserve">לפי הנחיית המסלול </t>
    </r>
    <r>
      <rPr>
        <sz val="11"/>
        <color theme="1"/>
        <rFont val="David"/>
        <family val="2"/>
        <charset val="177"/>
      </rPr>
      <t xml:space="preserve"> לנו אין נגיעה לקביעה זו :) </t>
    </r>
  </si>
  <si>
    <t>שעות קבלה ומרתונים - נשלחו/יישלחו בהקדם על ידי המתרגלים. אם לא ברור מסיבה כלשהי, פנו למתרגלים.</t>
  </si>
  <si>
    <t>בבחינה 20 שאלות מסוג רב-ברירה (אמריקאיות), ללא בחירה וללא צירוף קבצים נלווים, במשקל 5 נק׳ לשאלה.</t>
  </si>
  <si>
    <t xml:space="preserve">שאלות תשאלנה בתומקס.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</si>
  <si>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1-2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</si>
  <si>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3-4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</si>
  <si>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5-6</t>
    </r>
  </si>
  <si>
    <t xml:space="preserve">פתרון תמציתי - תשובה א. </t>
  </si>
  <si>
    <t>פתרון מפורט - מתחת לשאלה.</t>
  </si>
  <si>
    <t>30.10</t>
  </si>
  <si>
    <t>חודשיים</t>
  </si>
  <si>
    <t>ריבית לחודשיים</t>
  </si>
  <si>
    <t>ערך נוכחי, גם ב - pv וגם ב - npv</t>
  </si>
  <si>
    <t>מוביל תמיד לתקופה שהיא ״אחת</t>
  </si>
  <si>
    <t>אחורה״ ביחס למועד התזרים</t>
  </si>
  <si>
    <t>הראשון בסדרה.</t>
  </si>
  <si>
    <t xml:space="preserve">אם במקרה זה, התזרימים הם </t>
  </si>
  <si>
    <t>בזמן 1, 3, 5 (כי התזרים הראשון</t>
  </si>
  <si>
    <t>קרוב - מרחק חודש, והשאר כוללים</t>
  </si>
  <si>
    <t>מרווח של חודשיים זה מול זה)</t>
  </si>
  <si>
    <t xml:space="preserve">לכן חישוב PV מוביל חודשיים </t>
  </si>
  <si>
    <t xml:space="preserve">אחורה ביחס לזמן 1 כלומר לזמן 1-. </t>
  </si>
  <si>
    <t>לא מתאים - צריך לתקן לזמן אפס</t>
  </si>
  <si>
    <t xml:space="preserve">עושים זאת ע״י מכפלה ב- 1 ועוד הריבית </t>
  </si>
  <si>
    <t xml:space="preserve">החודשית, או באמצעות FV לחודש </t>
  </si>
  <si>
    <t>אחד על התוצאה.</t>
  </si>
  <si>
    <t>pv adjusted</t>
  </si>
  <si>
    <t>תקבולים בלבד</t>
  </si>
  <si>
    <t>תשלומים לרו״ח</t>
  </si>
  <si>
    <t>total pv</t>
  </si>
  <si>
    <t>הסבר לחישוב לפי NPV:</t>
  </si>
  <si>
    <t>הסבר לחישוב לפי PV:</t>
  </si>
  <si>
    <t>חישבנו PV לתקבולים בלבד, הגענו חודשיים לפני התקבול הראשון ודחפנו חודש קדימה</t>
  </si>
  <si>
    <t>בתוך קוביית pv adjusted. חשוב לשים לב שאלו תקבולים, ולכן התוצאה צריכה להיות</t>
  </si>
  <si>
    <t>מבוטאת כערך חיובי.</t>
  </si>
  <si>
    <t>לאחר מכן, חישבנו PV לתשלומי רואה החשבון בלבד. הגענו שנה לפני התשלום הראשון,</t>
  </si>
  <si>
    <t xml:space="preserve">כלומר ל-1.1, וכדי לתקן ל-1.4 דחפנו 3 חודשים קדימה. </t>
  </si>
  <si>
    <t>תוצאה זו צריך לשלב בסימן שלילי, משום שמדובר בתשלומים.</t>
  </si>
  <si>
    <t xml:space="preserve">סכמנו את שני ערכי ה - pv המתואמים, והגענו לתוצאה הסופית. </t>
  </si>
  <si>
    <t>שאלה נוספת לבקשת הקהל מהשיעורים</t>
  </si>
  <si>
    <t>Phone</t>
  </si>
  <si>
    <t>050-6551519</t>
  </si>
  <si>
    <t>רק למקרי חירום!</t>
  </si>
  <si>
    <t>הקלטות הרצאות הקורס: זמינות דרך המודל באופן נעים ונוח. אם משהו לא ברור ברמת המנהלות או חומרים, צרו קשר בשמחה ובכל עת.</t>
  </si>
  <si>
    <t>מבחן במשקל 100% מהציון, 20 שאלות רב-ברירה (אמריקאיות).</t>
  </si>
  <si>
    <t>לגבי דף נוסחאות: בסמסטר הקודם הונהג חומר פתוח. נדאג לבדוק ולעדכן סופית באישור של מתווה זה גם לסמסטר זה.</t>
  </si>
  <si>
    <t>נבחנים על גבי מחשב.</t>
  </si>
  <si>
    <r>
      <t xml:space="preserve">שאלה 1 - ערך עתידי, סכום יחיד, </t>
    </r>
    <r>
      <rPr>
        <b/>
        <u/>
        <sz val="11"/>
        <color theme="1"/>
        <rFont val="David"/>
        <family val="2"/>
        <charset val="177"/>
      </rPr>
      <t>ריבית פשוטה</t>
    </r>
  </si>
  <si>
    <t xml:space="preserve">שואלים מהו הסכום הכולל שיצטבר בחלוף 5 שנים, זהו העתיד - שואלים על ערך עתידי. </t>
  </si>
  <si>
    <t xml:space="preserve">כאשר מפקידים ״בבת אחת״ לתקופה מסוימת, גם אם היא ארוכה, וכוללת שנים רבות, מדובר בסכום יחיד. </t>
  </si>
  <si>
    <t>צבירת ריבית</t>
  </si>
  <si>
    <r>
      <t xml:space="preserve">הואיל ונתון שהחישוב הוא </t>
    </r>
    <r>
      <rPr>
        <b/>
        <u/>
        <sz val="11"/>
        <color theme="1"/>
        <rFont val="David"/>
        <family val="2"/>
        <charset val="177"/>
      </rPr>
      <t>בשיטת ריבית פשוטה</t>
    </r>
    <r>
      <rPr>
        <sz val="11"/>
        <color theme="1"/>
        <rFont val="David"/>
        <family val="2"/>
        <charset val="177"/>
      </rPr>
      <t>, התהליך הוא:</t>
    </r>
  </si>
  <si>
    <t>סכום השקעה או הלוואה ראשוני</t>
  </si>
  <si>
    <t>הריבית התקופתית 6% לשנה</t>
  </si>
  <si>
    <t>מוכפלת במספר השנים - 5</t>
  </si>
  <si>
    <t>סכום יחיד</t>
  </si>
  <si>
    <t>ריבית פשוטה</t>
  </si>
  <si>
    <t>ריבית קבועה</t>
  </si>
  <si>
    <t>Present Value</t>
  </si>
  <si>
    <r>
      <t xml:space="preserve">שאלה 2 - ערך עתידי, סכום יחיד, ריבית פשוטה </t>
    </r>
    <r>
      <rPr>
        <b/>
        <u/>
        <sz val="11"/>
        <color theme="1"/>
        <rFont val="David"/>
        <family val="2"/>
        <charset val="177"/>
      </rPr>
      <t>ומשתנה</t>
    </r>
  </si>
  <si>
    <r>
      <t xml:space="preserve">ההלוואה נושאת ריבית המחושבת </t>
    </r>
    <r>
      <rPr>
        <b/>
        <sz val="11"/>
        <color theme="1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, בשיעור שנתי של 10% בשנה הראשונה ו-12% בכל שנה לאחר מכן.</t>
    </r>
  </si>
  <si>
    <t>סיכום</t>
  </si>
  <si>
    <t>הריביות</t>
  </si>
  <si>
    <t>שאלה 3 - ערך עתידי, סכום יחיד, ״ריבית דריבית״ קבועה</t>
  </si>
  <si>
    <t>הפקדה מקורית</t>
  </si>
  <si>
    <t>מכפלה ב-1 ועוד הריבית לתקופה אחת</t>
  </si>
  <si>
    <t>בחזקת מס׳ תקופות</t>
  </si>
  <si>
    <t>הריבית</t>
  </si>
  <si>
    <t>שיעור הריבית התקופתית, כאן - ריבית לשנה ששיעורה:</t>
  </si>
  <si>
    <t>מספר תקופות הריבית, כאן: מספר השנים</t>
  </si>
  <si>
    <t>תשלום תקופתי קבוע בסדרה (כאן - אין)</t>
  </si>
  <si>
    <t>הפקדה בהווה (-) ; תקבול / הלוואה בהווה (+)</t>
  </si>
  <si>
    <t>פרמטר שרלוונטי רק בסדרות - כאן: נתעלם מקיומו</t>
  </si>
  <si>
    <t>סך הצבירה בעתיד</t>
  </si>
  <si>
    <t>שנה 1</t>
  </si>
  <si>
    <t>שנה 2</t>
  </si>
  <si>
    <t>שנים 3,4,5</t>
  </si>
  <si>
    <t>מפרמטר זה נתעלם כי אין פה סדרות</t>
  </si>
  <si>
    <t>לאחר כל שלב חישוב / כל תקופת הריבית</t>
  </si>
  <si>
    <t xml:space="preserve">ה-FV שקיבלנו הופך להיות PV של </t>
  </si>
  <si>
    <r>
      <t xml:space="preserve">תקופת הריבית הבאה - </t>
    </r>
    <r>
      <rPr>
        <b/>
        <sz val="11"/>
        <color theme="1"/>
        <rFont val="David"/>
        <family val="2"/>
        <charset val="177"/>
      </rPr>
      <t>בסימן הפוך</t>
    </r>
  </si>
  <si>
    <t>התשובה הסופית, מבטאת</t>
  </si>
  <si>
    <t>את העובדה שבתום שנה 5</t>
  </si>
  <si>
    <t>נצטרך לשלם סכום כולל</t>
  </si>
  <si>
    <t>של 82,694 ש״ח.</t>
  </si>
  <si>
    <t>אדם</t>
  </si>
  <si>
    <t>נועה</t>
  </si>
  <si>
    <t>גל</t>
  </si>
  <si>
    <t>ליאור</t>
  </si>
  <si>
    <t>מישהי שעמוד חוצץ בינינו</t>
  </si>
  <si>
    <t>בין התורמים והתורמות לדיון:</t>
  </si>
  <si>
    <t>תשלום תקופתי קבוע - כאן: אין כזה</t>
  </si>
  <si>
    <t>הריבית החודשית הנתונה</t>
  </si>
  <si>
    <t>מספרת תקופת הריבית - החודשים</t>
  </si>
  <si>
    <t>אין צורך להזין כי לא מדובר בסדרה</t>
  </si>
  <si>
    <t xml:space="preserve">שאלה 6 - חילוץ ריבית מערך עתידי נתון </t>
  </si>
  <si>
    <t>מספר השנים, כמספר תקופות הריבית</t>
  </si>
  <si>
    <t>בשאלה זו, בשונה מקודמותיה, הנדרש הוא הריבית (rate) ולא הסכום העתידי.</t>
  </si>
  <si>
    <t>לא מעניין</t>
  </si>
  <si>
    <t>הראינו איך לחשב ערך עתידי - גם בגישת הריבית הפשוטה (חישוב מתמטי בלבד);</t>
  </si>
  <si>
    <t xml:space="preserve">וגם בחישוב ברירת המחדל שנקרא ״ריבית דריבית״ (ואותו ניישם בדרך כלל באקסל). </t>
  </si>
  <si>
    <t>בשלב זה - עסקנו בערך עתידי של סכום יחיד בלבד - ללא סדרות.</t>
  </si>
  <si>
    <t>סיכום ביניים - מפגש 1:</t>
  </si>
  <si>
    <t>אני מפקיד 500 ש״ח היום</t>
  </si>
  <si>
    <t>לתקופה של 10 חודשים</t>
  </si>
  <si>
    <t>בריבית חודשית 0.5%</t>
  </si>
  <si>
    <t xml:space="preserve">אני מפקיד סכום נוסף </t>
  </si>
  <si>
    <t>לא ידוע x, בעוד חצי שנה</t>
  </si>
  <si>
    <t>שצובר ריבית עד תום</t>
  </si>
  <si>
    <t>החודש ה-10 (4 חודשים)</t>
  </si>
  <si>
    <t xml:space="preserve">אקסל מאפשר לנו לא רק לחשב ערך עתידי FV, אלא גם לחלץ כל נעלם אחר בחישוב כאשר ה - FV ידוע. </t>
  </si>
  <si>
    <t xml:space="preserve">כלומר: ניתן להשתמש בפונקציית rate לחילוץ ריבית, בפונקציית nper לחילוץ תקופות / מספר תשלומים וכו׳. </t>
  </si>
  <si>
    <t>הפקדה היום, תזרים מזומנים שלילי</t>
  </si>
  <si>
    <t>אין כאן תזרים תקופתי קבוע (אין סדרה, רק הפקדה בודדת)</t>
  </si>
  <si>
    <t>רלוונטי רק במקרים מאד ספציפיים של חישובי סדרות</t>
  </si>
  <si>
    <t xml:space="preserve">כלומר: אם נמתין 7 שנים, הסכום בחסכון (כולל צבירת הריבית) יגיע ליעד של 4,510.89 ש״ח. </t>
  </si>
  <si>
    <t xml:space="preserve">הסכום הראשוני המופקד מיד </t>
  </si>
  <si>
    <t>צובר ריבית שנה שלמה</t>
  </si>
  <si>
    <t>בשיעור חודשי של 0.8%</t>
  </si>
  <si>
    <t>הואיל והריבית חודשית, יש להעלות</t>
  </si>
  <si>
    <t>בחזקה המתארת את מספר החודשים בשנה</t>
  </si>
  <si>
    <t xml:space="preserve">הסכום המופקד בעוד 8 </t>
  </si>
  <si>
    <t>חודשים, צובר ריבית</t>
  </si>
  <si>
    <t>חודשית במשך 4 חודשים,</t>
  </si>
  <si>
    <t>מזמן 8 לזמן 12 (סוף השנה)</t>
  </si>
  <si>
    <t>שהתקבלה</t>
  </si>
  <si>
    <t xml:space="preserve">סך </t>
  </si>
  <si>
    <t>הצבירה</t>
  </si>
  <si>
    <t>שהרי עולה 8,500 :(</t>
  </si>
  <si>
    <t>כל שינוי בסכומים / בריביות - בביצוע אקסלי - למספר שלבים / מספר העמודות;</t>
  </si>
  <si>
    <t>במקרה שלנו - 2 עמודות, 2 רכיבי חישוב:</t>
  </si>
  <si>
    <t>ראשונית</t>
  </si>
  <si>
    <t>צבירת זמן 8</t>
  </si>
  <si>
    <t>פלוס הפקדה</t>
  </si>
  <si>
    <t>נוספת - צבירה</t>
  </si>
  <si>
    <t>לזמן 12</t>
  </si>
  <si>
    <t>ריבית חודשית נתונה</t>
  </si>
  <si>
    <t>אין כאן סדרה!</t>
  </si>
  <si>
    <t>כשיש הפקדה שאחריה הפקדה נוספת - אחשב FV באקסל ״רגע לפני״ ההפקדה הנוספת, ואתייחס</t>
  </si>
  <si>
    <t xml:space="preserve">לסכום זה יחד עם ההפקדה הנוספת כ - PV לתקופה הנותרת. </t>
  </si>
  <si>
    <t>תקופת</t>
  </si>
  <si>
    <t>ה-15 החודשים</t>
  </si>
  <si>
    <t>תקופה נוספת</t>
  </si>
  <si>
    <t>מ-15 ל-24</t>
  </si>
  <si>
    <r>
      <t xml:space="preserve">לצורך כך </t>
    </r>
    <r>
      <rPr>
        <b/>
        <u/>
        <sz val="16"/>
        <rFont val="David"/>
        <family val="2"/>
        <charset val="177"/>
      </rPr>
      <t xml:space="preserve">מחליטה להפקיד </t>
    </r>
    <r>
      <rPr>
        <b/>
        <u/>
        <sz val="16"/>
        <color rgb="FFFF0000"/>
        <rFont val="David"/>
        <family val="2"/>
        <charset val="177"/>
      </rPr>
      <t>כל חודש</t>
    </r>
    <r>
      <rPr>
        <b/>
        <u/>
        <sz val="16"/>
        <rFont val="David"/>
        <family val="2"/>
        <charset val="177"/>
      </rPr>
      <t xml:space="preserve"> סכום קבוע</t>
    </r>
    <r>
      <rPr>
        <sz val="16"/>
        <rFont val="David"/>
        <family val="2"/>
        <charset val="177"/>
      </rPr>
      <t xml:space="preserve"> בחסכון הנושא ריבית חודשית בשיעור 0.8%. </t>
    </r>
  </si>
  <si>
    <t>זוהי השאלה הראשונה שבה מדובר בסדרה (PMT), וזאת הודות למילות המפתח ״הפקדה כל חודש״.</t>
  </si>
  <si>
    <t>הריבית לתקופת הפקדה (לחודש)</t>
  </si>
  <si>
    <t>נדרש א: הפקדות בסוף כל חודש</t>
  </si>
  <si>
    <t>נדרש ב: הפקדות בתחילת כל חודש</t>
  </si>
  <si>
    <t>למרות שההפקדה בתחילת כל חודש, אין כאן הפקדה ״חד פעמית״ שונה</t>
  </si>
  <si>
    <t>הפקדה בתחילת כל חודש, 10 שנים = 10 * 12 = 120</t>
  </si>
  <si>
    <t>ההפקדות כל חודש, נדרשת ריבית חודשית - והיא נתונה !</t>
  </si>
  <si>
    <t xml:space="preserve">מבחינת זיהוי השאלה, אפשר לשים לב שהיא מחולקת לחלקים: יש את ההפקדה הראשונית והסדרה ההתחלתית (1), </t>
  </si>
  <si>
    <t>לאחר מכן יש תקופת המתנה עם צבירת ריבית בלבד (2), ולאחר מכן הסכום שנצבר יחד עם הפקדות נוספות - נמשך</t>
  </si>
  <si>
    <t xml:space="preserve">עד לסיום התכנית (3). </t>
  </si>
  <si>
    <t>1..24</t>
  </si>
  <si>
    <t>25...84</t>
  </si>
  <si>
    <t>85...120</t>
  </si>
  <si>
    <t>pmt = -1000</t>
  </si>
  <si>
    <t>nper = 24</t>
  </si>
  <si>
    <t>rate = 0.8%</t>
  </si>
  <si>
    <t>pmt = 0</t>
  </si>
  <si>
    <t>nper = 60</t>
  </si>
  <si>
    <t>pmt = -200</t>
  </si>
  <si>
    <t>nper = 36</t>
  </si>
  <si>
    <t>ערך נוכחי (שווי בהווה) - PV - של סדרת תזרימי מזומנים</t>
  </si>
  <si>
    <t>PV(series)</t>
  </si>
  <si>
    <t>הנדרש (מחולץ בסוף התהליך)</t>
  </si>
  <si>
    <t>אם היו אומרים: ״תקבולים בתחילת כל שנה 3 שנים״ אז (1)</t>
  </si>
  <si>
    <t>הסכום המינימלי שנדרוש חלף סדרת התשלומים הוא 272.32 ש״ח.</t>
  </si>
  <si>
    <t>משכנתה מהבנק היא לתקופה של 20 שנים. הריבית החודשית על משכנתאות היא בשיעור 0.5%. הניחו כושר</t>
  </si>
  <si>
    <t>סכום הלוואה (משכנתה במקרה זה) תמיד ולעולם זהה לערך הנוכחי של החזריה.</t>
  </si>
  <si>
    <t>ריבית לתקופת תשלום = לחודש (נתונה)</t>
  </si>
  <si>
    <r>
      <t>במקרה הכללי (אם לא נאמר אחרת): בחירה בין חלופות כספיות (״</t>
    </r>
    <r>
      <rPr>
        <u/>
        <sz val="12"/>
        <color theme="1"/>
        <rFont val="David"/>
        <family val="2"/>
        <charset val="177"/>
      </rPr>
      <t>מה תעדיף / תבחר: לקבל כך וכך היום או</t>
    </r>
  </si>
  <si>
    <r>
      <rPr>
        <u/>
        <sz val="12"/>
        <color theme="1"/>
        <rFont val="David"/>
        <family val="2"/>
        <charset val="177"/>
      </rPr>
      <t>כך ואחרת בעתיד</t>
    </r>
    <r>
      <rPr>
        <sz val="12"/>
        <color theme="1"/>
        <rFont val="David"/>
        <family val="2"/>
        <charset val="177"/>
      </rPr>
      <t xml:space="preserve">״) - תבוצע על בסיס </t>
    </r>
    <r>
      <rPr>
        <b/>
        <sz val="12"/>
        <color theme="1"/>
        <rFont val="David"/>
        <family val="2"/>
        <charset val="177"/>
      </rPr>
      <t xml:space="preserve">ערך נוכחי - תועדף החלופה בעלת הערך הנוכחי PV המירבי. </t>
    </r>
  </si>
  <si>
    <t>כ-12 תשלומים</t>
  </si>
  <si>
    <t>חודשיים בשנה</t>
  </si>
  <si>
    <t>במשך 12 שנים</t>
  </si>
  <si>
    <t>12 * 12 = 144</t>
  </si>
  <si>
    <r>
      <t xml:space="preserve">בכל </t>
    </r>
    <r>
      <rPr>
        <b/>
        <sz val="12"/>
        <color theme="1"/>
        <rFont val="David"/>
        <family val="2"/>
        <charset val="177"/>
      </rPr>
      <t>תחילת</t>
    </r>
    <r>
      <rPr>
        <sz val="12"/>
        <color theme="1"/>
        <rFont val="David"/>
        <family val="2"/>
        <charset val="177"/>
      </rPr>
      <t xml:space="preserve"> שבוע, </t>
    </r>
    <r>
      <rPr>
        <b/>
        <sz val="12"/>
        <color theme="1"/>
        <rFont val="David"/>
        <family val="2"/>
        <charset val="177"/>
      </rPr>
      <t>בנוסף</t>
    </r>
    <r>
      <rPr>
        <sz val="12"/>
        <color theme="1"/>
        <rFont val="David"/>
        <family val="2"/>
        <charset val="177"/>
      </rPr>
      <t xml:space="preserve">, תקבל מוריה מארז גלידה הביתה בסכום של 500 ש״ח, וזאת במשך 12 שבועות. </t>
    </r>
  </si>
  <si>
    <t>נתחיל בחיזוקית על ערך נוכחי סדרתי עם התאמות.</t>
  </si>
  <si>
    <t>נמשיך למעברי ריביות - נושא מרכזי ומאתגר.</t>
  </si>
  <si>
    <t>שאלת חזרה / חיזוק - ערך נוכחי של סדרה עם התאמות</t>
  </si>
  <si>
    <t>צחי הבטיח לגלגול שבמידה והיא תעביר לו סיכומים בכלכלה הוא ישלם לה בתום כל חודש במשך 3 שנים סכום</t>
  </si>
  <si>
    <t>חודשי של 1,500 ש״ח.</t>
  </si>
  <si>
    <t>הריבית החודשית בשנה הראשונה היא 0.3% לחודש, והריבית החודשית לאחר מכן 0.5%.</t>
  </si>
  <si>
    <t xml:space="preserve">נדרש: מהו השווי היום, בש״ח, של סיכומי גלגול (פרשנות: שווי היום = ערך נוכחי). </t>
  </si>
  <si>
    <t>חודשים</t>
  </si>
  <si>
    <t>...    12</t>
  </si>
  <si>
    <t>…</t>
  </si>
  <si>
    <t>PV1</t>
  </si>
  <si>
    <t>PV2</t>
  </si>
  <si>
    <t>מסקנה:</t>
  </si>
  <si>
    <t>הסיכומים של גלגול שווים היום כ-50,303 ש״ח.</t>
  </si>
  <si>
    <t>רקע לנושא הבא - חישובי ריבית אפקטיבית</t>
  </si>
  <si>
    <r>
      <t xml:space="preserve">לכאורה, השאלה הראשונה המתבקשת מהכותרת היא ״שו הדא </t>
    </r>
    <r>
      <rPr>
        <b/>
        <sz val="12"/>
        <color theme="1"/>
        <rFont val="David"/>
        <family val="2"/>
        <charset val="177"/>
      </rPr>
      <t>ריבית אפקטיבית</t>
    </r>
    <r>
      <rPr>
        <sz val="12"/>
        <color theme="1"/>
        <rFont val="David"/>
        <family val="2"/>
        <charset val="177"/>
      </rPr>
      <t>? למה הכוונה?״</t>
    </r>
  </si>
  <si>
    <r>
      <t>והתשובה, באופן סתום לגמרי, היא ״</t>
    </r>
    <r>
      <rPr>
        <u/>
        <sz val="12"/>
        <color theme="1"/>
        <rFont val="David"/>
        <family val="2"/>
        <charset val="177"/>
      </rPr>
      <t>ריבית אפקטיבית זו הריבית האמיתית</t>
    </r>
    <r>
      <rPr>
        <sz val="12"/>
        <color theme="1"/>
        <rFont val="David"/>
        <family val="2"/>
        <charset val="177"/>
      </rPr>
      <t>״.</t>
    </r>
  </si>
  <si>
    <r>
      <t xml:space="preserve">א.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לחודש? (תשובה: 0.75%).</t>
    </r>
  </si>
  <si>
    <r>
      <t xml:space="preserve">ב.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לחודשיים - נקראת גם ״דו חודשית״? (תשובה: 1.5%)</t>
    </r>
  </si>
  <si>
    <r>
      <t xml:space="preserve">ג.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לרבעון? (תשובה: 2.25%)</t>
    </r>
  </si>
  <si>
    <r>
      <t xml:space="preserve">ד.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החצי שנתית? (תשובה: 4.5%). </t>
    </r>
  </si>
  <si>
    <t xml:space="preserve">ריבית נקובה </t>
  </si>
  <si>
    <t>לתקופה</t>
  </si>
  <si>
    <t>מסוימת</t>
  </si>
  <si>
    <t>נתונה</t>
  </si>
  <si>
    <t>מספר</t>
  </si>
  <si>
    <t>התקופות</t>
  </si>
  <si>
    <r>
      <t xml:space="preserve">המוחלט של התזרים </t>
    </r>
    <r>
      <rPr>
        <b/>
        <u/>
        <sz val="12"/>
        <color theme="1"/>
        <rFont val="David"/>
        <family val="2"/>
        <charset val="177"/>
      </rPr>
      <t>בתום התקופה</t>
    </r>
    <r>
      <rPr>
        <sz val="12"/>
        <color theme="1"/>
        <rFont val="David"/>
        <family val="2"/>
        <charset val="177"/>
      </rPr>
      <t xml:space="preserve"> (כאן: 21,600) לבין </t>
    </r>
    <r>
      <rPr>
        <b/>
        <u/>
        <sz val="12"/>
        <color theme="1"/>
        <rFont val="David"/>
        <family val="2"/>
        <charset val="177"/>
      </rPr>
      <t>הערך המוחלט</t>
    </r>
    <r>
      <rPr>
        <sz val="12"/>
        <color theme="1"/>
        <rFont val="David"/>
        <family val="2"/>
        <charset val="177"/>
      </rPr>
      <t xml:space="preserve"> של התזרים בתחילת התקופה (כאן: 20,000)</t>
    </r>
  </si>
  <si>
    <r>
      <t xml:space="preserve">וכל זה - </t>
    </r>
    <r>
      <rPr>
        <b/>
        <u/>
        <sz val="12"/>
        <color theme="1"/>
        <rFont val="David"/>
        <family val="2"/>
        <charset val="177"/>
      </rPr>
      <t>פחות אחת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</si>
  <si>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ב. מהי הריבית האפקטיבית השנתית אם הריבית </t>
    </r>
    <r>
      <rPr>
        <b/>
        <u/>
        <sz val="12"/>
        <color theme="1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>? (תשובה: 8.243%)</t>
    </r>
  </si>
  <si>
    <r>
      <t xml:space="preserve">היחס בין הערכים פחות אחת, הוא </t>
    </r>
    <r>
      <rPr>
        <b/>
        <sz val="12"/>
        <color rgb="FF0070C0"/>
        <rFont val="David"/>
        <family val="2"/>
        <charset val="177"/>
      </rPr>
      <t>הריבית האפקטיבית</t>
    </r>
    <r>
      <rPr>
        <sz val="12"/>
        <rFont val="David"/>
        <family val="2"/>
        <charset val="177"/>
      </rPr>
      <t>:</t>
    </r>
  </si>
  <si>
    <r>
      <t xml:space="preserve">נוסחת קיצור שניתן להשתמש בה, כאשר </t>
    </r>
    <r>
      <rPr>
        <b/>
        <sz val="12"/>
        <color theme="1"/>
        <rFont val="David"/>
        <family val="2"/>
        <charset val="177"/>
      </rPr>
      <t>הריבית הנתונה נקובה</t>
    </r>
    <r>
      <rPr>
        <sz val="12"/>
        <color theme="1"/>
        <rFont val="David"/>
        <family val="2"/>
        <charset val="177"/>
      </rPr>
      <t xml:space="preserve"> ומחושבת </t>
    </r>
    <r>
      <rPr>
        <b/>
        <sz val="12"/>
        <color theme="1"/>
        <rFont val="David"/>
        <family val="2"/>
        <charset val="177"/>
      </rPr>
      <t>מספר פעמים בתקופה</t>
    </r>
    <r>
      <rPr>
        <sz val="12"/>
        <color theme="1"/>
        <rFont val="David"/>
        <family val="2"/>
        <charset val="177"/>
      </rPr>
      <t>:</t>
    </r>
  </si>
  <si>
    <t>שאלה 5 - כשנתונה ריבית אפקטיבית, ורוצים להמיר לנקובה / תקופה אחרת</t>
  </si>
  <si>
    <t>שאלה 5.1 - המרות ריבית - נקובה ואפקטיבית</t>
  </si>
  <si>
    <t>אלירן שוקל להפקיד לתכנית חסכון לחצי שנה סכום של 70,000 ש״ח. מציעים לו את החלופות הבאות:</t>
  </si>
  <si>
    <t>ב. ריבית רבעונית אפקטיבית בשיעור 3.5%.</t>
  </si>
  <si>
    <t xml:space="preserve">נעדיף את התכנית המעניקה את הריבית הגבוהה ביותר - תכנית ב. </t>
  </si>
  <si>
    <t>שאלה 2 - ריבית מראש המקרה הקלאסי</t>
  </si>
  <si>
    <t>שאלה 6 - חילוץ ריבית מגולמת בהינתן ריבית בתום התקופה וריבית מראש</t>
  </si>
  <si>
    <t>שאלה 9 - ריבית דריבית</t>
  </si>
  <si>
    <t>שאלה 10 - המרה מארוכה לקצרה כשהריבית הנתונה אפקטיבית</t>
  </si>
  <si>
    <t>שאלה 11 - חילוץ ריבית מגולמת בהינתן ריבית בתום התקופה וריבית מראש</t>
  </si>
  <si>
    <t>שאלה 13</t>
  </si>
  <si>
    <t>שאלה 14</t>
  </si>
  <si>
    <t>שאלה 15</t>
  </si>
  <si>
    <t>שאלה 16</t>
  </si>
  <si>
    <t>שאלה 17</t>
  </si>
  <si>
    <t>שאלה 18</t>
  </si>
  <si>
    <t xml:space="preserve">המטרה היא לא לרוץ, אלא לראות מה ״פחות מובן״. </t>
  </si>
  <si>
    <t>כל התרגילים שלא נספיק - בבקשה לפתור בבית, יש להם פתרון מלא ומאד מפורט שהושקע בו מאמץ רב - תוכלו להציף</t>
  </si>
  <si>
    <t xml:space="preserve">לי כל בעיה. </t>
  </si>
  <si>
    <t>תזכורת לגבי נוסחאות עיקריות:</t>
  </si>
  <si>
    <t>שאלה 1 - חישוב ריבית אפקטיבית מגולמת - במצב שבו תזרימי המזומנים ניתנים לחישוב</t>
  </si>
  <si>
    <t>מבוא לפתרון:</t>
  </si>
  <si>
    <t>כאשר אני מזהה שבשאלה ישנו ערבוב של נתונים - גם כספיים (בש״ח) וגם באחוזים (ריביות), במקרים רבים הדרך</t>
  </si>
  <si>
    <t>הנוחה ביותר לחשב את הריבית האפקטיבית היא לשקלל את סכום תזרימי המזומנים נטו:</t>
  </si>
  <si>
    <t>א. בתחילת העסקה</t>
  </si>
  <si>
    <t>ב. בתום העסקה</t>
  </si>
  <si>
    <t>אם אצליח לבטא ולחשב את התזרימים בתחילת העסקה ובסיומה, היחס ביניהם (פחות 1) הוא הריבית האפקטיבית</t>
  </si>
  <si>
    <t>לתקופת העסקה הכוללת:</t>
  </si>
  <si>
    <t>ניכוי עמלת עריכת מסמכים - משולמת מיד במועד העמדת ההלוואה</t>
  </si>
  <si>
    <t>קרן כלכלית (התזרים נטו בזמן 0) - P0</t>
  </si>
  <si>
    <t>ציר זמן בשנים</t>
  </si>
  <si>
    <t>רבעון 1</t>
  </si>
  <si>
    <t>רבעון 2</t>
  </si>
  <si>
    <t>רבעון 3</t>
  </si>
  <si>
    <t>תום השנה</t>
  </si>
  <si>
    <t>הנוסחה:</t>
  </si>
  <si>
    <t xml:space="preserve">שימו לב: בתחשיב של התשלום בתום השנה, כפלנו ב-1 ועוד ריבית מחולקת במספר התקופות, אבל לא החסרנו 1, </t>
  </si>
  <si>
    <t>כמו בנוסחה שאנו מכירים:</t>
  </si>
  <si>
    <t>הסיבה לכך היא, שבשונה משאלות ריבית ״רגילות״ שבהן כל הנתונים באחוזים, ולכן ניתן לחשב את הריבית</t>
  </si>
  <si>
    <t>באחוזים בנוסחה בודדת, כאן יש שאלה שמבוססת על ערכים כספיים; בשאלות כאלו מטרתנו איננה לחשב מיד</t>
  </si>
  <si>
    <t>את הריבית; אלא להבין מהו סכום הכסף שמתקבל וסכום הכסף (הכולל - קרן + ריבית) שמוחזר.</t>
  </si>
  <si>
    <t>זו הסיבה לכך שבשאלות כאלו (מבוססות כסף! לא אחוזים) ההחזר הכולל הוא החישוב המרכזי, ועבורו לא מפחיתים</t>
  </si>
  <si>
    <t xml:space="preserve">את הערך 1 אלא פשוט מחשבים ״ערך עתידי״. </t>
  </si>
  <si>
    <t>בנוסף - שימו לב שתשלום עמלת עריכת מסמכים / דמי הקמה בפני עצמו, אמנם מקטין את הסכום העומד</t>
  </si>
  <si>
    <t>לרשות הלווה בזמן אפס P0, אבל איננו מקטין את הבסיס לתשלום ריבית; כלומר הריבית עדיין תשולם</t>
  </si>
  <si>
    <t xml:space="preserve">על בסיס הקרן המשפטית / ברוטו שהיא 100,000. </t>
  </si>
  <si>
    <t>אמלק״י: אם זיהיתי שאלה שכוללת שילוב של נתונים בכסף וגם באחוזים ורוצים ריבית אפקטיבית:</t>
  </si>
  <si>
    <t xml:space="preserve">א. אפתח ״ציר זמן״. אציג בזמן אפס את הסכום הראשוני, בתוספת או בניכוי הערך הכספי שגובים או מקבלים = P0. </t>
  </si>
  <si>
    <t>ב. אחשב על פי הנתונים בכלים של ערך עתידי ובתוספת עמלות / ניכויים את סך הסכום הכספי שגובים / מקבלים</t>
  </si>
  <si>
    <t xml:space="preserve">בתום התקופה = P1. במקרה של עמלות מראש - סכום זה יישען על הקרן המקורית (ללא עמלות מראש). </t>
  </si>
  <si>
    <t>ג. לפי הנוסחה המתבססת על היחס בין התשלום בסוף לתקבול בהתחלה, נחשב ריבית אפקטיבית.</t>
  </si>
  <si>
    <t>שאלה 5 - המרת ריבית אפקטיבית מתקופה לתקופה (קיצור ריבית)</t>
  </si>
  <si>
    <r>
      <t xml:space="preserve">קודם כל - הריבית הנתונה היא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</si>
  <si>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כאשר הריבית הנתונה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>, כל המרה שלה מתקופה לתקופה (למשל - משנה לחודש במקרה זה) תבוצע</t>
    </r>
  </si>
  <si>
    <t>אך ורק באמצעות מעריך חזקה מתאים בלבד.</t>
  </si>
  <si>
    <r>
      <t xml:space="preserve">חשבו את הריבית החודשית האפקטיבית אם </t>
    </r>
    <r>
      <rPr>
        <u/>
        <sz val="12"/>
        <color theme="1"/>
        <rFont val="David"/>
        <family val="2"/>
        <charset val="177"/>
      </rPr>
      <t>נתון שהריבית האפקטיבית</t>
    </r>
    <r>
      <rPr>
        <sz val="12"/>
        <color theme="1"/>
        <rFont val="David"/>
        <family val="2"/>
        <charset val="177"/>
      </rPr>
      <t xml:space="preserve"> השנתית היא 9.5% (תשובה: 0.7592%)</t>
    </r>
  </si>
  <si>
    <t xml:space="preserve">re = (1 + r)^(m) - 1 = (1 + 9.5%)^(1/12) - 1 = </t>
  </si>
  <si>
    <t>בהתאמת ערך ריבית אפקטיבית מתקופה לתקופה (למשל, משנה לחודש) מעריך החזקה הוא היחס בין ״הרצוי״</t>
  </si>
  <si>
    <t xml:space="preserve">לבין ״המצוי״. כלומר, היחס בין התקופה הנדרשת (כאן - חודש) לתקופה הנתונה (כאן - שנה). </t>
  </si>
  <si>
    <t>היחס בין חודש לשנה הוא 1/12.</t>
  </si>
  <si>
    <t xml:space="preserve">1.5% * 200,000 = </t>
  </si>
  <si>
    <r>
      <rPr>
        <b/>
        <sz val="12"/>
        <color theme="1"/>
        <rFont val="David"/>
        <family val="2"/>
        <charset val="177"/>
      </rPr>
      <t>ניכוי</t>
    </r>
    <r>
      <rPr>
        <sz val="12"/>
        <color theme="1"/>
        <rFont val="David"/>
        <family val="2"/>
        <charset val="177"/>
      </rPr>
      <t xml:space="preserve"> מראש</t>
    </r>
  </si>
  <si>
    <t xml:space="preserve">P0 = </t>
  </si>
  <si>
    <t>בתום השנה, מה צריך להחזיר לבנק?</t>
  </si>
  <si>
    <t>א. 197,000 בתוספת ריבית המחושבת ביחס לסכום זה</t>
  </si>
  <si>
    <t>ב. 200,000 בתוספת ריבית המחושבת ביחס לסכום זה</t>
  </si>
  <si>
    <t>V</t>
  </si>
  <si>
    <t>P1 =</t>
  </si>
  <si>
    <t>P1</t>
  </si>
  <si>
    <r>
      <rPr>
        <sz val="12"/>
        <color theme="0"/>
        <rFont val="David"/>
        <family val="2"/>
        <charset val="177"/>
      </rPr>
      <t>,</t>
    </r>
    <r>
      <rPr>
        <sz val="12"/>
        <rFont val="David"/>
        <family val="2"/>
        <charset val="177"/>
      </rPr>
      <t xml:space="preserve"> -1 =</t>
    </r>
  </si>
  <si>
    <t>תשובתי</t>
  </si>
  <si>
    <t>שימו לב שלא נכלל ביטוי של חלוקה / חזקה בחישוב סכום ההחזר בתום התקופה, משום שהריבית מחושבת פעם</t>
  </si>
  <si>
    <t>אחת ויחידה. מהסיבה הזו, אין צורך אמיתי לבצע חלוקה וחזקה, אם הייתי ממש מתעקש:</t>
  </si>
  <si>
    <t>200,000 * (1 + 9%/1)^1 = 218,000</t>
  </si>
  <si>
    <t>לבית (כפילות)</t>
  </si>
  <si>
    <t xml:space="preserve">נדרש: איזה מסלול הלוואה יעדיף שי? נמקו. </t>
  </si>
  <si>
    <t>,=-2% * 4,000</t>
  </si>
  <si>
    <t xml:space="preserve">2% * 4,000 = </t>
  </si>
  <si>
    <t xml:space="preserve">4,000 * (1 + 6%/12)^12 = </t>
  </si>
  <si>
    <t xml:space="preserve">re = Pt/P0 - 1 </t>
  </si>
  <si>
    <t>ריבית אפקטיבית במסלול / בהלוואה מס׳ 1:</t>
  </si>
  <si>
    <t>תקבול נטו התחלתי, אין כאן עמלות מיידיות / ניכויים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</si>
  <si>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=4,000 * (1 + 9%)</t>
    </r>
  </si>
  <si>
    <t xml:space="preserve">P1 = </t>
  </si>
  <si>
    <t>re = 4360/4000 - 1 = 9%</t>
  </si>
  <si>
    <t>כלומר: גם אם אני עובד בשיטה ה״מלאה״ שמתבססת על סך התזרימים, וגם אם אני עובד לפי הכלל שאומר</t>
  </si>
  <si>
    <t>שכאשר הריבית הנקובה מחושבת פעם אחת בלבד, ללא עמלות וניכויים, היא זהה לריבית האפקטיבית:</t>
  </si>
  <si>
    <t>לפי היחס בין התזרימים (פחות 1):</t>
  </si>
  <si>
    <t xml:space="preserve">לפי הכלל: אם אין ריבית דריבית / עמלות וניכויים = </t>
  </si>
  <si>
    <t>הריבית הנתונה היא האפקטיבית.</t>
  </si>
  <si>
    <t>תת נושא: ריבית מגולמת בהסדר תשלומים</t>
  </si>
  <si>
    <r>
      <t>הואיל ומדובר בהסדר תשלומים (</t>
    </r>
    <r>
      <rPr>
        <b/>
        <u/>
        <sz val="11"/>
        <color theme="1"/>
        <rFont val="David"/>
        <family val="2"/>
        <charset val="177"/>
      </rPr>
      <t>סדרה</t>
    </r>
    <r>
      <rPr>
        <sz val="11"/>
        <color theme="1"/>
        <rFont val="David"/>
        <family val="2"/>
        <charset val="177"/>
      </rPr>
      <t>) לרכישת מוצר היום, המשפט שיסייע בידינו לחלץ את הריבית המגולמת יהיה:</t>
    </r>
  </si>
  <si>
    <r>
      <t xml:space="preserve">נדרש: מהי הריבית </t>
    </r>
    <r>
      <rPr>
        <b/>
        <u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האפקטיבית המגולמת בהסדר התשלומים החודשיים?</t>
    </r>
  </si>
  <si>
    <t xml:space="preserve">(1 + r)^m - 1 = </t>
  </si>
  <si>
    <t>שאלה 15.1 - הלוואה הכוללת ריבית מראש, ריבית דריבית והשפעות תזרימיות נוספות בתחילת ובתום העסקה</t>
  </si>
  <si>
    <t xml:space="preserve">בר מסטל נוטלת הלוואה היום בסכום של 250,000 ש״ח לטובת רכישת טסלה חדשה. </t>
  </si>
  <si>
    <t xml:space="preserve">ההלוואה דורשת תשלום עמלת עריכת מסמכים בשיעור 3% מגובה ההלוואה, שתשולם מיד. </t>
  </si>
  <si>
    <t>כמו כן, ההלוואה נושאת ריבית נקובה שנתית בשיעור 12% המחושבת כל חודש.</t>
  </si>
  <si>
    <t>במועד סילוק ההלוואה (בעוד שנה - קרן וריבית) יש להוסיף עמלת פרעון בשיעור 4% המחושבת ביחס לקרן המקורית,</t>
  </si>
  <si>
    <t>וכן מקבלים מתנה שובר GiftCard בסך 1,000 ש״ח.</t>
  </si>
  <si>
    <t>נדרש: מהי הריבית השנתית האפקטיבית בעסקה המתוארת?</t>
  </si>
  <si>
    <t>קרן הלוואה</t>
  </si>
  <si>
    <t>ניכוי עמלת עריכה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</si>
  <si>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-3% * 250,000 = </t>
    </r>
  </si>
  <si>
    <t>סכום ראשוני נטו, P0</t>
  </si>
  <si>
    <t xml:space="preserve">250,000 * (1 + 12%/12)^12 = </t>
  </si>
  <si>
    <t xml:space="preserve">250,000 * 4% = </t>
  </si>
  <si>
    <t>משלם - קרן וריבית</t>
  </si>
  <si>
    <t>משלם - דמי פרעון</t>
  </si>
  <si>
    <t>מקבל - שווי Giftcard</t>
  </si>
  <si>
    <t>מכאן ואילך, חישוב הריבית האפקטיבית יישען כרגיל על היחס בין הערך המוחלט של התשלום בתום התקופה</t>
  </si>
  <si>
    <t>לבין הערך של התקבול נטו בתחילתה:</t>
  </si>
  <si>
    <t xml:space="preserve">re = 290,706/242,500 - 1 = </t>
  </si>
  <si>
    <t>סיכום ביניים לנושא הריבית האפקטיבית:</t>
  </si>
  <si>
    <t>במפגש הקודם, התמקדנו בעיקר בחישוב ריבית אפקטיבית במצב של ״ריבית דריבית״. למדנו להשיב לשאלות שבהן כל הנתונים</t>
  </si>
  <si>
    <r>
      <t xml:space="preserve">באחוזים, ומבנה השאלה הוא: ״מה הריבית </t>
    </r>
    <r>
      <rPr>
        <b/>
        <sz val="11"/>
        <color theme="1"/>
        <rFont val="David"/>
        <family val="2"/>
        <charset val="177"/>
      </rPr>
      <t>האפקטיבית</t>
    </r>
    <r>
      <rPr>
        <sz val="11"/>
        <color theme="1"/>
        <rFont val="David"/>
        <family val="2"/>
        <charset val="177"/>
      </rPr>
      <t xml:space="preserve"> לשנתיים אם </t>
    </r>
    <r>
      <rPr>
        <b/>
        <sz val="11"/>
        <color theme="1"/>
        <rFont val="David"/>
        <family val="2"/>
        <charset val="177"/>
      </rPr>
      <t>הריבית הנקובה</t>
    </r>
    <r>
      <rPr>
        <sz val="11"/>
        <color theme="1"/>
        <rFont val="David"/>
        <family val="2"/>
        <charset val="177"/>
      </rPr>
      <t xml:space="preserve"> לשנה 12% </t>
    </r>
    <r>
      <rPr>
        <b/>
        <sz val="11"/>
        <color theme="1"/>
        <rFont val="David"/>
        <family val="2"/>
        <charset val="177"/>
      </rPr>
      <t>והיא מחושבת כל רבעון</t>
    </r>
    <r>
      <rPr>
        <sz val="11"/>
        <color theme="1"/>
        <rFont val="David"/>
        <family val="2"/>
        <charset val="177"/>
      </rPr>
      <t>״.</t>
    </r>
  </si>
  <si>
    <t>הראינו שבמצב כזה הנוסחה:</t>
  </si>
  <si>
    <t>כמו כן הראינו שאם הריבית האפקטיבית נתונה, המרה שלה מתקופה לתקופה דורשת מעריך חזקה מתאים בלבד:</t>
  </si>
  <si>
    <t>re = (1 + r)^m - 1</t>
  </si>
  <si>
    <t>השכלול היום התייחס למצבים שבהם קיימת ריבית מראש / עמלות וניכויים, לרבות ערכים כספיים בתחילת התקופה</t>
  </si>
  <si>
    <t>ובתום התקופה. למדנו להתייחס לשאלות כגון: ״מהי הריבית האפקטיבית בהלוואה הדורשת עמלת עריכת מסמכים בסך....</t>
  </si>
  <si>
    <t xml:space="preserve">וכן משלמת ריבית בשיעור שנתי .... המחושבת כל... בתום התקופה״. הדרך שהפעלנו כללה איור ציר זמן, חישוב מדויק </t>
  </si>
  <si>
    <t>של תזרימי המזומנים נטו בתחילת התקופה ובסיומה, ושימוש ביחס ביניהם לחילוץ ריבית אפקטיבית:</t>
  </si>
  <si>
    <t>לבסוף: הבהרנו שאם אני מזהה עסקת רכש מוצר בתשלומים, היוצרת סדרה, עליי להשתמש בפונקציית rate של אקסל</t>
  </si>
  <si>
    <t xml:space="preserve">בכדי לבצע את חילוץ הריבית. במצב כזה, ה - PV חייב להיות עלות המוצר במזומן נטו, לאחר כל הנחה קשורה. כמו כן, </t>
  </si>
  <si>
    <t>אם מחשבים בצורה כזו חשוב מאד לשים לב שהריבית המחולצת היא לתקופת תשלום, ובהתאם לנדרש, עשוי להתקיים</t>
  </si>
  <si>
    <t xml:space="preserve">הצורך לתאם אותה לתקופה אחרת בהתאם. </t>
  </si>
  <si>
    <t>סכמה (מבנה) ללוח סילוקין (האופן שבו מפצלים החזרי הלוואה בין ריבית לקרן):</t>
  </si>
  <si>
    <t xml:space="preserve">שי נוטל היום הלוואה לרכישת Macbook Air M1 חדש. סכום ההלוואה 4,000 ש״ח (PV). </t>
  </si>
  <si>
    <r>
      <t xml:space="preserve">ההלוואה תוחזר ב-24 </t>
    </r>
    <r>
      <rPr>
        <b/>
        <sz val="12"/>
        <color theme="1"/>
        <rFont val="David"/>
        <family val="2"/>
        <charset val="177"/>
      </rPr>
      <t>תשלומים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חודשיים</t>
    </r>
    <r>
      <rPr>
        <sz val="12"/>
        <color theme="1"/>
        <rFont val="David"/>
        <family val="2"/>
        <charset val="177"/>
      </rPr>
      <t xml:space="preserve"> </t>
    </r>
    <r>
      <rPr>
        <b/>
        <sz val="12"/>
        <color theme="1"/>
        <rFont val="David"/>
        <family val="2"/>
        <charset val="177"/>
      </rPr>
      <t>שווים</t>
    </r>
    <r>
      <rPr>
        <sz val="12"/>
        <color theme="1"/>
        <rFont val="David"/>
        <family val="2"/>
        <charset val="177"/>
      </rPr>
      <t xml:space="preserve"> של קרן וריבית (לוח </t>
    </r>
    <r>
      <rPr>
        <b/>
        <u/>
        <sz val="12"/>
        <color theme="1"/>
        <rFont val="David"/>
        <family val="2"/>
        <charset val="177"/>
      </rPr>
      <t>שפיצר</t>
    </r>
    <r>
      <rPr>
        <sz val="12"/>
        <color theme="1"/>
        <rFont val="David"/>
        <family val="2"/>
        <charset val="177"/>
      </rPr>
      <t xml:space="preserve">). הריבית </t>
    </r>
  </si>
  <si>
    <t xml:space="preserve">לוח סילוקין שפיצר: טכניקה להחזר הלוואה המכתיבה שהתשלום התקופתי (PMT כאן - החודשי) קבוע. </t>
  </si>
  <si>
    <t>שאלה 2 - לוח סילוקין ״שפיצר״ - שימוש בפונקציות Excel ייעודיות כלומר ללא בנייה של לוח סילוקין / טבלה מפורטת</t>
  </si>
  <si>
    <r>
      <t xml:space="preserve">הדרכה: פונקציית </t>
    </r>
    <r>
      <rPr>
        <b/>
        <sz val="12"/>
        <color rgb="FFFF0000"/>
        <rFont val="David"/>
        <family val="2"/>
        <charset val="177"/>
      </rPr>
      <t>PPMT</t>
    </r>
  </si>
  <si>
    <r>
      <t xml:space="preserve">הדרכה: פונקציית </t>
    </r>
    <r>
      <rPr>
        <b/>
        <sz val="12"/>
        <color rgb="FFFF0000"/>
        <rFont val="David"/>
        <family val="2"/>
        <charset val="177"/>
      </rPr>
      <t>IPMT</t>
    </r>
  </si>
  <si>
    <t>מסקנה: התשלום על חשבון הריבית שנכלל במסגרת ההחזר ה-94 הוא 18.87 ש״ח.</t>
  </si>
  <si>
    <t>ריבית תקופתית - לתקופת תשלום - כאן נתון 0.8%</t>
  </si>
  <si>
    <t>מספר התשלומים הכולל בהלוואה (נתון: 10 שנים, 12 בשנה)</t>
  </si>
  <si>
    <t>סכום ההלוואה - בסימן חיובי</t>
  </si>
  <si>
    <t>בשפיצר - אין תשלום חד פעמי בתום העסקה</t>
  </si>
  <si>
    <t>חילוץ תשלום תקופתי בפונקציית PMT</t>
  </si>
  <si>
    <t>מסקנה: יתרת ההלוואה (יתרת החוב לבנק לאחר 33 תשלומים) היא 6,091.71 ש״ח.</t>
  </si>
  <si>
    <t>סיכום ביניים שפיצרי:</t>
  </si>
  <si>
    <t>סוג הנדרש</t>
  </si>
  <si>
    <t>הכלי</t>
  </si>
  <si>
    <t>סך תשלום תקופתי קבוע</t>
  </si>
  <si>
    <t>תשלום תקופתי על חשבון קרן</t>
  </si>
  <si>
    <t>PPMT</t>
  </si>
  <si>
    <t>תשלום תקופתי על חשבון ריבית</t>
  </si>
  <si>
    <t>IPMT</t>
  </si>
  <si>
    <t>יתרת הלוואה</t>
  </si>
  <si>
    <r>
      <t>כאשר ה - nper הוא מספר התשלומים ש</t>
    </r>
    <r>
      <rPr>
        <u/>
        <sz val="12"/>
        <color theme="1"/>
        <rFont val="David"/>
        <family val="2"/>
        <charset val="177"/>
      </rPr>
      <t>נותרו</t>
    </r>
  </si>
  <si>
    <t>שאלה 3 - לוח סילוקין ״רגיל״ (סוג הלוואה שונה משפיצר = תשלומי קרן שווים) - חישוב מתמטי</t>
  </si>
  <si>
    <r>
      <t xml:space="preserve">למימון רכישת המכונה, כך שהתשלום החודשי בגין המכונה במשך </t>
    </r>
    <r>
      <rPr>
        <b/>
        <sz val="12"/>
        <color theme="1"/>
        <rFont val="David"/>
        <family val="2"/>
        <charset val="177"/>
      </rPr>
      <t>שנה אחת</t>
    </r>
    <r>
      <rPr>
        <sz val="12"/>
        <color theme="1"/>
        <rFont val="David"/>
        <family val="2"/>
        <charset val="177"/>
      </rPr>
      <t xml:space="preserve"> יכלול </t>
    </r>
    <r>
      <rPr>
        <b/>
        <u/>
        <sz val="12"/>
        <color theme="1"/>
        <rFont val="David"/>
        <family val="2"/>
        <charset val="177"/>
      </rPr>
      <t>תשלום חודשי קבוע על חשבון הקרן</t>
    </r>
    <r>
      <rPr>
        <sz val="12"/>
        <color theme="1"/>
        <rFont val="David"/>
        <family val="2"/>
        <charset val="177"/>
      </rPr>
      <t>,</t>
    </r>
  </si>
  <si>
    <t>PRN = PV/nper</t>
  </si>
  <si>
    <t>עד כאן אופן הטיפול בלוח שפיצר שלעתים נקרא גם ״תשלומים שווים״</t>
  </si>
  <si>
    <t>להלן נציג לוח אחר, שנקרא ״לוח רגיל״ שלעתים נקרא גם ״תשלום קבוע בגין הקרן״ או ״תשלומי קרן קבועים״</t>
  </si>
  <si>
    <t>נתון שמדובר בהלוואה הנפרעת לפי לוח רגיל.</t>
  </si>
  <si>
    <t>בהלוואה כזו, התשלום התקופתי על חשבון הקרן קבוע:</t>
  </si>
  <si>
    <t>לכן יתרת הקרן של ההלוואה למועד מסוים - הוא לפי ההפרש בין סכום ההלוואה המקורי למספר תשלומי הקרן שבוצעו:</t>
  </si>
  <si>
    <t>BAL(t) = PV - PRN * t</t>
  </si>
  <si>
    <t xml:space="preserve">PRN = PV/nper = </t>
  </si>
  <si>
    <t xml:space="preserve">PRN * 4 = </t>
  </si>
  <si>
    <t xml:space="preserve">PV = </t>
  </si>
  <si>
    <t xml:space="preserve">BAL(4) = PV - PRN*4 = </t>
  </si>
  <si>
    <t>כאשר t מלשון time מייצג את התשלום הספציפי עליו שואלים:</t>
  </si>
  <si>
    <t>דרך קיצור:</t>
  </si>
  <si>
    <t>הסבר דרך הקיצור:</t>
  </si>
  <si>
    <r>
      <t xml:space="preserve">חד פעמי בתום התקופה (״בלון״) בסך 60,000 ש״ח בתום השנה. בנתונים אלו, </t>
    </r>
    <r>
      <rPr>
        <b/>
        <sz val="11"/>
        <color rgb="FFFF0000"/>
        <rFont val="David"/>
        <family val="2"/>
        <charset val="177"/>
      </rPr>
      <t>הציגו את לוח הסילוקין</t>
    </r>
    <r>
      <rPr>
        <sz val="11"/>
        <color theme="1"/>
        <rFont val="David"/>
        <family val="2"/>
        <charset val="177"/>
      </rPr>
      <t xml:space="preserve">. </t>
    </r>
  </si>
  <si>
    <r>
      <t xml:space="preserve">קוקי מעוניין ליטול הלוואה למימון רכישת מכונית. סכום ההלוואה 150,000 ש״ח. ההלוואה נפרעת </t>
    </r>
    <r>
      <rPr>
        <u/>
        <sz val="11"/>
        <color theme="1"/>
        <rFont val="David"/>
        <family val="2"/>
        <charset val="177"/>
      </rPr>
      <t>בתשלומים חודשיים</t>
    </r>
  </si>
  <si>
    <t>שאלה 1 - לוח סילוקין ״שפיצר״ (=תשלומים שווים) עם בלון בתום התקופה</t>
  </si>
  <si>
    <r>
      <rPr>
        <u/>
        <sz val="11"/>
        <color theme="1"/>
        <rFont val="David"/>
        <family val="2"/>
        <charset val="177"/>
      </rPr>
      <t>שווים</t>
    </r>
    <r>
      <rPr>
        <sz val="11"/>
        <color theme="1"/>
        <rFont val="David"/>
        <family val="2"/>
        <charset val="177"/>
      </rPr>
      <t xml:space="preserve"> במשך שנה כאשר הריבית </t>
    </r>
    <r>
      <rPr>
        <u/>
        <sz val="11"/>
        <color theme="1"/>
        <rFont val="David"/>
        <family val="2"/>
        <charset val="177"/>
      </rPr>
      <t>השנתית הנקובה</t>
    </r>
    <r>
      <rPr>
        <sz val="11"/>
        <color theme="1"/>
        <rFont val="David"/>
        <family val="2"/>
        <charset val="177"/>
      </rPr>
      <t xml:space="preserve"> היא 12% והיא מחושבת על בסיס חודשי, אך בנוסף דורשת תשלום</t>
    </r>
  </si>
  <si>
    <t xml:space="preserve">כדי לעבד לוח סילוקין שפיצר - חייבים לדעת את הריבית האפקטיבית לתקופת תשלום. </t>
  </si>
  <si>
    <t>כאן - צריך לדעת את הריבית האפקטיבית לחודש, כי פרק הזמן בין תשלומים הוא חודש.</t>
  </si>
  <si>
    <t xml:space="preserve">לצערי הריבית הנתונה היא נקובה לשנה, המחושבת על בסיס חודשי. </t>
  </si>
  <si>
    <t>לכן האתגר הראשון שלי - איך מעבירים ריבית נקובה שנתית המחושבת כל חודש, לריבית חודשית אפקטיבית?</t>
  </si>
  <si>
    <t>מה עשית פה, שייקה?</t>
  </si>
  <si>
    <t>הנוסחה הראשונה שהצגתי לעיל היא הנוסחה הממירה מריבית נקובה לאפקטיבית:</t>
  </si>
  <si>
    <t xml:space="preserve">במונה - ריבית נקובה שנתית נתונה - 12%, ובמכנה 12 - כי תקופת החישוב היא חודש (המרה משנה לחודש ע״י חלוקה ב-12). </t>
  </si>
  <si>
    <t xml:space="preserve">כלומר הביטוי 12 / 12% מייצג ריבית לתקופת חישוב - לחודש. </t>
  </si>
  <si>
    <t>עכשיו צריך מעריך חזקה שיסביר: כמה תקופות חישוב יש בתקופה הנדרשת?</t>
  </si>
  <si>
    <t xml:space="preserve">הואיל ובתקופה הנדרשת (חודש, כי התשלומים כל חודש) יש תקופת חישוב אחת (שהיא חודש כנתון), המעריך 1. </t>
  </si>
  <si>
    <t>בשורה השניה - הצגתי חישוב מפושט - כי אם התשלומים בעסקה הם כל תקופת חישוב, אין באמת ״ריבית דריבית״ (חזקת 1 תמיד)</t>
  </si>
  <si>
    <t xml:space="preserve">ואז זאפשר פשוט לחלק את הריבית במספר תקופות החישוב. </t>
  </si>
  <si>
    <t xml:space="preserve">אם בשאלה נתונה הריבית הנקובה ״המחושבת כל״ - והתשלומים הם כל תקופת חישוב, </t>
  </si>
  <si>
    <t>אפשר פשוט לחלק את הריבית הנקובה כדי להגיע ל-rate:</t>
  </si>
  <si>
    <t>rate = R/n</t>
  </si>
  <si>
    <t>מס׳ תשלומים</t>
  </si>
  <si>
    <t>חד פעמי בסוף</t>
  </si>
  <si>
    <t>מה לקחתי הביתה?</t>
  </si>
  <si>
    <t>כאשר מדובר בהלוואה שפיצרית- תשלום קבוע ובנוסף תשלום חד פעמי נפרד נוסף בתום התקופה,</t>
  </si>
  <si>
    <t xml:space="preserve">תשלומי קרן שווים = לוח רגיל (לא שפיצר!) - יישומים ״מתמטיים״ (לא ניתן לקצר תהליך באקסל!). את נמצאת כאן. </t>
  </si>
  <si>
    <r>
      <t xml:space="preserve">זאת </t>
    </r>
    <r>
      <rPr>
        <u/>
        <sz val="11"/>
        <color theme="1"/>
        <rFont val="David"/>
        <family val="2"/>
        <charset val="177"/>
      </rPr>
      <t>בשונה</t>
    </r>
    <r>
      <rPr>
        <sz val="11"/>
        <color theme="1"/>
        <rFont val="David"/>
        <family val="2"/>
        <charset val="177"/>
      </rPr>
      <t xml:space="preserve"> מלוח סילוקין שבו התשלומים שווים = לוח שפיצר. יישומים בנוסחאות אקסל (iPMT, PPMT וכיו״ב). </t>
    </r>
  </si>
  <si>
    <r>
      <t xml:space="preserve">שאלה 2 - לוח סילוקין ״רגיל״ (תשלומי </t>
    </r>
    <r>
      <rPr>
        <b/>
        <u/>
        <sz val="11"/>
        <color theme="1"/>
        <rFont val="David"/>
        <family val="2"/>
        <charset val="177"/>
      </rPr>
      <t>קרן</t>
    </r>
    <r>
      <rPr>
        <b/>
        <sz val="11"/>
        <color theme="1"/>
        <rFont val="David"/>
        <family val="2"/>
        <charset val="177"/>
      </rPr>
      <t xml:space="preserve"> שווים) - נוסחאות קיצור לפתרון מהיר (המחשנו את א, </t>
    </r>
    <r>
      <rPr>
        <b/>
        <sz val="11"/>
        <color rgb="FFFF0000"/>
        <rFont val="David"/>
        <family val="2"/>
        <charset val="177"/>
      </rPr>
      <t>סעיפים ב+ג+ד לבית עם פתרון)</t>
    </r>
  </si>
  <si>
    <t>שאלה 3 - לוח סילוקין שפיצר - עם ״גרייס״ - דחייה בהתחלת התשלומים</t>
  </si>
  <si>
    <t>כשאני מזהה לוח סילוקין עם ״גרייס״ (כזה שבו יש כמה חודשים שבמהלכם לא מבוצעים החזרים):</t>
  </si>
  <si>
    <t>מפה והלאה, כל חישוב שיתייחס להלוואה - למעשה יישען על סכום הלוואה של 210,202 ש״ח.</t>
  </si>
  <si>
    <t>יתרת הלוואה לזמן 5 (ערב סיום ה״גרייס״) כפול שיעור הריבית 1%</t>
  </si>
  <si>
    <t>יתרת הלוואה לזמן 5</t>
  </si>
  <si>
    <t>חלקי מס׳ התשלומים</t>
  </si>
  <si>
    <t xml:space="preserve">בלוח סילוקין שיש בו גרייס ל-5 תקופות, זמן 5 הוא בעצם ״זמן 0״, ולכן התשלום ה-4 הוא התשלום של זמן 9. </t>
  </si>
  <si>
    <t>לפי תשלום הקרן הקבוע: 210,202/55 (קרן ערב תחילת ההחזרים, חלקי מס׳ תשלומים כולל)</t>
  </si>
  <si>
    <t xml:space="preserve">ומדוע מכפלה ב-52? כי כדי לחשב ריבית צריך את היתרה ״לתקופה קודמת״. </t>
  </si>
  <si>
    <t>מס׳ התשלומים הכולל: 55</t>
  </si>
  <si>
    <t>התשלום עליו שואלים: 4</t>
  </si>
  <si>
    <t xml:space="preserve">n = </t>
  </si>
  <si>
    <t xml:space="preserve">t = </t>
  </si>
  <si>
    <t>ההפרש + 1:</t>
  </si>
  <si>
    <t>n - t + 1 = 55 - 4 +1  = 52</t>
  </si>
  <si>
    <t>כלומר למועד ״תחילת״ החזרים</t>
  </si>
  <si>
    <r>
      <t xml:space="preserve">מבוא / רקע - ההלוואה נפרעת בתשלומים </t>
    </r>
    <r>
      <rPr>
        <b/>
        <sz val="11"/>
        <color theme="1"/>
        <rFont val="David"/>
        <family val="2"/>
        <charset val="177"/>
      </rPr>
      <t xml:space="preserve">שווים </t>
    </r>
    <r>
      <rPr>
        <sz val="11"/>
        <color theme="1"/>
        <rFont val="David"/>
        <family val="2"/>
        <charset val="177"/>
      </rPr>
      <t xml:space="preserve"> = לוח שפיצר.</t>
    </r>
  </si>
  <si>
    <t>התשלום הראשון בתום החודש ה-7 = יש פה גרייס.</t>
  </si>
  <si>
    <t>15,000 = BAL6 * 1%</t>
  </si>
  <si>
    <t>BAL6 = 1,500,000</t>
  </si>
  <si>
    <t>אם נתון INT בעתיד</t>
  </si>
  <si>
    <t xml:space="preserve">אפשר לחלץ </t>
  </si>
  <si>
    <t>לפיו</t>
  </si>
  <si>
    <t>את יתרת החוב</t>
  </si>
  <si>
    <t>בעתיד</t>
  </si>
  <si>
    <t>אפשר לחלץ לפי יתרת החוב העתידית</t>
  </si>
  <si>
    <t>את ההלוואה הראשונית</t>
  </si>
  <si>
    <t>רקע: כדי לדעת כיצד משפיעה הצמדה למדד המחירים - עלינו להיות מסוגלים לחשב את השינוי במדד המחירים באחוזים.</t>
  </si>
  <si>
    <t>שינוי זה נקרא ״אינפלציה״</t>
  </si>
  <si>
    <t>תום רבעון 1</t>
  </si>
  <si>
    <t>תום רבעון 2</t>
  </si>
  <si>
    <t>תום רבעון 3</t>
  </si>
  <si>
    <t>תום רבעון 4</t>
  </si>
  <si>
    <t>מדד בסיס</t>
  </si>
  <si>
    <r>
      <t xml:space="preserve">האינפלציה  התקופתית  π מחושבת על בסיס הפרופורציה בין ערכי המדד לתקופות עוקבות - </t>
    </r>
    <r>
      <rPr>
        <b/>
        <sz val="11"/>
        <color theme="1"/>
        <rFont val="David"/>
        <family val="2"/>
        <charset val="177"/>
      </rPr>
      <t>במונה: מדד עדכני</t>
    </r>
    <r>
      <rPr>
        <sz val="11"/>
        <color theme="1"/>
        <rFont val="David"/>
        <family val="2"/>
        <charset val="177"/>
      </rPr>
      <t xml:space="preserve">, </t>
    </r>
    <r>
      <rPr>
        <b/>
        <sz val="11"/>
        <color theme="1"/>
        <rFont val="David"/>
        <family val="2"/>
        <charset val="177"/>
      </rPr>
      <t>במכנה - מדד בסיס</t>
    </r>
    <r>
      <rPr>
        <sz val="11"/>
        <color theme="1"/>
        <rFont val="David"/>
        <family val="2"/>
        <charset val="177"/>
      </rPr>
      <t>.</t>
    </r>
  </si>
  <si>
    <r>
      <t xml:space="preserve">ב. </t>
    </r>
    <r>
      <rPr>
        <u/>
        <sz val="11"/>
        <color theme="1"/>
        <rFont val="David"/>
        <family val="2"/>
        <charset val="177"/>
      </rPr>
      <t>על בסיס היחס בין המדד ההתחלתי למדד הסופי</t>
    </r>
    <r>
      <rPr>
        <sz val="11"/>
        <color theme="1"/>
        <rFont val="David"/>
        <family val="2"/>
        <charset val="177"/>
      </rPr>
      <t xml:space="preserve"> וכן על בסיס פונקציית PRODUCT, מהי האינפלציה השנתית?</t>
    </r>
  </si>
  <si>
    <t>חישוב אינפלציה לשנה שלמה - לפי היחס בין המדד לסוף השנה (דצמבר 2021) לבין המדד לתום שנה קודמת (דצמבר 2020):</t>
  </si>
  <si>
    <t>פלוס 1</t>
  </si>
  <si>
    <t>(1+r1)*(1+r2)*….</t>
  </si>
  <si>
    <t>מבוא: כאשר מקבלים נתוני עסקה שכוללת ריבית (כגון הלוואה) שהיא צמודה למדד, ואנו רוצים לחשב את סך ההחזר,</t>
  </si>
  <si>
    <t xml:space="preserve">נפעל בשלבים: </t>
  </si>
  <si>
    <t>א. נחשב את האינפלציה (שינוי במדד באחוזים)      ב. חישוב הסכום להחזר לפני הצמדה (״סכום ריאלי״)    ג. הצמדה: מכפלה ב-1 ועוד אינפלציה</t>
  </si>
  <si>
    <t>א. אינפלציה באחוזים לתקופת העסקה:</t>
  </si>
  <si>
    <t xml:space="preserve">FV(ריאלי, לפני הצמדה) = </t>
  </si>
  <si>
    <t>100,000 * (1 + 5%) = 105,000</t>
  </si>
  <si>
    <t>ג. חישוב החזר כולל = סכום ריאלי בתוספת אינפלציה:</t>
  </si>
  <si>
    <t xml:space="preserve">105,000 * (1 + 2.522%) = </t>
  </si>
  <si>
    <t>חישוב מהיר ״במכה״:</t>
  </si>
  <si>
    <t xml:space="preserve">בחישוב המהיר, במקום לחשב סכום ריאלי, ואז לחשב אינפלציה, ואז לייצר את השילוב - </t>
  </si>
  <si>
    <r>
      <t xml:space="preserve">חישבנו את הסכום הריאלי וכפלנו אותו ביחס בין המדדים (מדד עדכני חלקי מדד בסיס - </t>
    </r>
    <r>
      <rPr>
        <b/>
        <u/>
        <sz val="11"/>
        <rFont val="David"/>
        <family val="2"/>
        <charset val="177"/>
      </rPr>
      <t>ללא מינוס אחת</t>
    </r>
    <r>
      <rPr>
        <b/>
        <sz val="11"/>
        <rFont val="David"/>
        <family val="2"/>
        <charset val="177"/>
      </rPr>
      <t xml:space="preserve">). </t>
    </r>
  </si>
  <si>
    <t xml:space="preserve">פרט לעצם החישוב של סכומים אחרי הצמדה, חשוב להכיר את סוגי הריביות בהינתן הצמדה - </t>
  </si>
  <si>
    <r>
      <rPr>
        <b/>
        <u/>
        <sz val="11"/>
        <color theme="1"/>
        <rFont val="David"/>
        <family val="2"/>
        <charset val="177"/>
      </rPr>
      <t>ריבית ריאלית</t>
    </r>
    <r>
      <rPr>
        <b/>
        <sz val="11"/>
        <color theme="1"/>
        <rFont val="David"/>
        <family val="2"/>
        <charset val="177"/>
      </rPr>
      <t xml:space="preserve"> - ריבית ״צמודה״ לפני שמלבישים עליה את השפעות האינפלציה; </t>
    </r>
    <r>
      <rPr>
        <b/>
        <u/>
        <sz val="11"/>
        <color theme="1"/>
        <rFont val="David"/>
        <family val="2"/>
        <charset val="177"/>
      </rPr>
      <t>ריבית נומינלית</t>
    </r>
    <r>
      <rPr>
        <b/>
        <sz val="11"/>
        <color theme="1"/>
        <rFont val="David"/>
        <family val="2"/>
        <charset val="177"/>
      </rPr>
      <t xml:space="preserve"> = ריבית כוללת</t>
    </r>
  </si>
  <si>
    <r>
      <t xml:space="preserve">נוסחת פישר / משוואת פישר - קובעת את הקשר בין </t>
    </r>
    <r>
      <rPr>
        <b/>
        <u/>
        <sz val="11"/>
        <color theme="1"/>
        <rFont val="David"/>
        <family val="2"/>
        <charset val="177"/>
      </rPr>
      <t>ריבית ריאלית</t>
    </r>
    <r>
      <rPr>
        <b/>
        <sz val="11"/>
        <color theme="1"/>
        <rFont val="David"/>
        <family val="2"/>
        <charset val="177"/>
      </rPr>
      <t xml:space="preserve">, </t>
    </r>
    <r>
      <rPr>
        <b/>
        <u/>
        <sz val="11"/>
        <color theme="1"/>
        <rFont val="David"/>
        <family val="2"/>
        <charset val="177"/>
      </rPr>
      <t>ריבית נומינלית</t>
    </r>
    <r>
      <rPr>
        <b/>
        <sz val="11"/>
        <color theme="1"/>
        <rFont val="David"/>
        <family val="2"/>
        <charset val="177"/>
      </rPr>
      <t xml:space="preserve"> ו</t>
    </r>
    <r>
      <rPr>
        <b/>
        <u/>
        <sz val="11"/>
        <color theme="1"/>
        <rFont val="David"/>
        <family val="2"/>
        <charset val="177"/>
      </rPr>
      <t>שיעור האינפלציה</t>
    </r>
  </si>
  <si>
    <t>בהצבה נקבל:</t>
  </si>
  <si>
    <t>ונחלץ:</t>
  </si>
  <si>
    <r>
      <t xml:space="preserve">חשבו את ציפיות האינפלציה של הבנק </t>
    </r>
    <r>
      <rPr>
        <b/>
        <u/>
        <sz val="11"/>
        <color theme="1"/>
        <rFont val="David"/>
        <family val="2"/>
        <charset val="177"/>
      </rPr>
      <t>והסבירו באיזו תכנית יש לבחור.</t>
    </r>
  </si>
  <si>
    <t>10,000 * (1 + 9%) = 10,900</t>
  </si>
  <si>
    <t xml:space="preserve">10,000 * (1 + 6%) * (1 + 2.83%) = </t>
  </si>
  <si>
    <t xml:space="preserve">במקרה הפרטי הזה (במקרה הכללי תמיד נבדוק) - התקבול לפרקר ולדונקי בתום השנה היה זהה. </t>
  </si>
  <si>
    <t xml:space="preserve">בשונה מעסקאות ההלוואה הקודמות בשיעור זה, כאן מדובר בהלוואה שנפרעת בתשלומים - לא בתשלום אחד. </t>
  </si>
  <si>
    <t>נשאלת השאלה - האם זה שפיצר או רגיל? ואיך נדע?</t>
  </si>
  <si>
    <r>
      <t xml:space="preserve">בולי נטל הלוואה בסך 100,000 ש״ח בריבית חודשית 0.5%. ההלוואה נפרעת ב-30 </t>
    </r>
    <r>
      <rPr>
        <b/>
        <u/>
        <sz val="11"/>
        <color theme="1"/>
        <rFont val="David"/>
        <family val="2"/>
        <charset val="177"/>
      </rPr>
      <t>תשלומים</t>
    </r>
    <r>
      <rPr>
        <sz val="11"/>
        <color theme="1"/>
        <rFont val="David"/>
        <family val="2"/>
        <charset val="177"/>
      </rPr>
      <t xml:space="preserve"> חודשיים </t>
    </r>
    <r>
      <rPr>
        <b/>
        <u/>
        <sz val="11"/>
        <color theme="1"/>
        <rFont val="David"/>
        <family val="2"/>
        <charset val="177"/>
      </rPr>
      <t>שווים</t>
    </r>
    <r>
      <rPr>
        <sz val="11"/>
        <color theme="1"/>
        <rFont val="David"/>
        <family val="2"/>
        <charset val="177"/>
      </rPr>
      <t>. נדרש:</t>
    </r>
  </si>
  <si>
    <r>
      <t xml:space="preserve">פירעון </t>
    </r>
    <r>
      <rPr>
        <b/>
        <u/>
        <sz val="11"/>
        <color theme="1"/>
        <rFont val="David"/>
        <family val="2"/>
        <charset val="177"/>
      </rPr>
      <t>בתשלומים שווים</t>
    </r>
    <r>
      <rPr>
        <sz val="11"/>
        <color theme="1"/>
        <rFont val="David"/>
        <family val="2"/>
        <charset val="177"/>
      </rPr>
      <t xml:space="preserve"> = לוח </t>
    </r>
    <r>
      <rPr>
        <b/>
        <u/>
        <sz val="11"/>
        <color theme="1"/>
        <rFont val="David"/>
        <family val="2"/>
        <charset val="177"/>
      </rPr>
      <t>שפיצר</t>
    </r>
    <r>
      <rPr>
        <sz val="11"/>
        <color theme="1"/>
        <rFont val="David"/>
        <family val="2"/>
        <charset val="177"/>
      </rPr>
      <t xml:space="preserve">. </t>
    </r>
  </si>
  <si>
    <t>בלוח שפיצר נתחיל תמיד מחילוץ ה - PMT בנוסחאות אקסל:</t>
  </si>
  <si>
    <t>מספר התשלומים הכולל</t>
  </si>
  <si>
    <t>תשלומים חודשיים, ריבית חודשית - יאייי</t>
  </si>
  <si>
    <t>סכום ההלוואה בסימן חיובי</t>
  </si>
  <si>
    <t>בשפיצר אין תשלום / תקבול בתום תקופה</t>
  </si>
  <si>
    <t>הערך המחולץ בנוסחת pmt באקסל</t>
  </si>
  <si>
    <t xml:space="preserve">במלים: הסכום הכולל להחזר אחרי הצמדה הוא הסכום הריאלי (לפני הצמדה) מוכפל ב-1 ועוד שיעור האינפלציה לתקופה (1.1%). </t>
  </si>
  <si>
    <t>לחילופין, אפשר לחשב רק את האינפלציה לתקופה של 5 חודשים לפי היחס בין המדדים פחות 1:</t>
  </si>
  <si>
    <t xml:space="preserve">114.4 / 110 - 1 = </t>
  </si>
  <si>
    <t>ואז פשוט לכפול את ההחזר הבסיסי ב-1 ועוד האינפלציה התקופתית הזו:</t>
  </si>
  <si>
    <t xml:space="preserve">3,597.89 * (1+4%) = </t>
  </si>
  <si>
    <t xml:space="preserve">84,354.87 * 114.4/110 = </t>
  </si>
  <si>
    <t xml:space="preserve">מסקנה: </t>
  </si>
  <si>
    <t xml:space="preserve">היתרה לאחר 5 תשלומים, בהתחשב בהצמדה, היא 87,729 ש״ח. </t>
  </si>
  <si>
    <t>פתרון סעיף א - כאשר ערכי השינוי במדד באחוזים לכל תקופה בנפרד, אפשר להוסיף לכל אחד מהם 1, ובפו׳ Product לחשב אינפלציה שנתית</t>
  </si>
  <si>
    <t>הרצנו פונקציית Product על עמודת שינוי +1 והפחתנו 1 מהתוצאה.</t>
  </si>
  <si>
    <r>
      <t xml:space="preserve">סיפרו שהריבית </t>
    </r>
    <r>
      <rPr>
        <b/>
        <u/>
        <sz val="11"/>
        <color theme="1"/>
        <rFont val="David"/>
        <family val="2"/>
        <charset val="177"/>
      </rPr>
      <t>הנקובה השנתית</t>
    </r>
    <r>
      <rPr>
        <b/>
        <sz val="11"/>
        <color theme="1"/>
        <rFont val="David"/>
        <family val="2"/>
        <charset val="177"/>
      </rPr>
      <t xml:space="preserve"> היא </t>
    </r>
    <r>
      <rPr>
        <b/>
        <u/>
        <sz val="11"/>
        <color theme="1"/>
        <rFont val="David"/>
        <family val="2"/>
        <charset val="177"/>
      </rPr>
      <t>4.8%</t>
    </r>
    <r>
      <rPr>
        <b/>
        <sz val="11"/>
        <color theme="1"/>
        <rFont val="David"/>
        <family val="2"/>
        <charset val="177"/>
      </rPr>
      <t>, מחושבת כל חודש,</t>
    </r>
  </si>
  <si>
    <r>
      <rPr>
        <b/>
        <u/>
        <sz val="11"/>
        <color theme="1"/>
        <rFont val="David"/>
        <family val="2"/>
        <charset val="177"/>
      </rPr>
      <t>וצמודה למדד</t>
    </r>
    <r>
      <rPr>
        <b/>
        <sz val="11"/>
        <color theme="1"/>
        <rFont val="David"/>
        <family val="2"/>
        <charset val="177"/>
      </rPr>
      <t>. ביקשו שנחשב ריבית אפקטיבית שנתית נומינלית.</t>
    </r>
  </si>
  <si>
    <t xml:space="preserve">אינפלציה כוללת לתקופה ארוכה - כאשר נתונים ערכי אינפלציה חודשית - ניתן לחשב על בסיס product (עם הטריק של 1 פלוס... ראו לעיל) </t>
  </si>
  <si>
    <t xml:space="preserve">אינפלציה כוללת לתקופה ארוכה - כאשר נתונים ערכי אינפלציה חודשית - ניתן לחשב על בסיס product (עם הטריק של 1 פלוס... ראו לעיל)ע </t>
  </si>
  <si>
    <t>סמסטר 2025 ב</t>
  </si>
  <si>
    <r>
      <t xml:space="preserve">מרצה: </t>
    </r>
    <r>
      <rPr>
        <strike/>
        <sz val="11"/>
        <color theme="1"/>
        <rFont val="David"/>
        <family val="2"/>
        <charset val="177"/>
      </rPr>
      <t>רו״ח</t>
    </r>
    <r>
      <rPr>
        <sz val="11"/>
        <color theme="1"/>
        <rFont val="David"/>
        <family val="2"/>
        <charset val="177"/>
      </rPr>
      <t xml:space="preserve"> </t>
    </r>
    <r>
      <rPr>
        <sz val="16"/>
        <color theme="1"/>
        <rFont val="David"/>
        <family val="2"/>
        <charset val="177"/>
      </rPr>
      <t>ד״ר</t>
    </r>
    <r>
      <rPr>
        <sz val="11"/>
        <color theme="1"/>
        <rFont val="David"/>
        <family val="2"/>
        <charset val="177"/>
      </rPr>
      <t xml:space="preserve"> שי צבאן</t>
    </r>
  </si>
  <si>
    <t>שאלה א - ערך עתידי של סכום יחיד, ריבית קבועה, שיטת הריבית הפשוטה</t>
  </si>
  <si>
    <t>שאלה ב - ערך עתידי של סכום יחיד, ריבית משתנה, שיטת הריבית הפשוטה</t>
  </si>
  <si>
    <t>שאלה ג - ערך עתידי של סכום יחיד, ריבית קבועה, שיטת הריבית דריבית, נוסחה ו-Excel</t>
  </si>
  <si>
    <t>שאלה ד - ערך עתידי של סכום יחיד, ריבית משתנה, שיטת הריבית דריבית, נוסחה ו-Excel</t>
  </si>
  <si>
    <t>שאלה ה - ערך עתידי של סכום יחיד, ריבית משתנה, תקופה שונה משנה, שיטת הריבית דריבית, נוסחה ו-Excel</t>
  </si>
  <si>
    <t>שאלה ו - חילוץ ריבית תקופתית כאשר ידוע סכום ההפקדה וסכום הפירעון</t>
  </si>
  <si>
    <t>שאלה ז - חילוץ סכום הפקדה במקרה מורכב יותר על סמך משוואה</t>
  </si>
  <si>
    <t>תרגילי הרצאה</t>
  </si>
  <si>
    <t>בובי הקטן מפקיד 100,000 ש״ח לתקופה של 7 שנים, בריבית שנתית של 5% המחושבת בשיטת הריבית הפשוטה. מהו הסכום</t>
  </si>
  <si>
    <t>הכולל שיעמוד לרשותו במועד הפירעון?</t>
  </si>
  <si>
    <t>קוקי השמנמן מפקיד 50,000 ש״ח לתקופה של 8 שנים בריבית שנתית של 7% התקפה ב-3 השנים הראשונות וריבית שנתית</t>
  </si>
  <si>
    <t>של 9% התקפה בכל שנה עוקבת. מהו הסכום הכולל שיעמוד לרשותו בהנחה שהריבית מחושבת בשיטת הריבית הפשוטה?</t>
  </si>
  <si>
    <t xml:space="preserve">סבטלנה מפקידה היום 90,000 ש״ח לתקופה של 10 שנים. החסכון נושא ריבית שנתית של 5%. מהו הסכום הכולל שיעמוד </t>
  </si>
  <si>
    <t>לרשותה בתום השנה ה-10?</t>
  </si>
  <si>
    <t xml:space="preserve">לאחר מכן הריבית השנתית 8%, ובכל אחת מהשנים 8 ו-9 הריבית השנתית 10%. </t>
  </si>
  <si>
    <t xml:space="preserve">מהו הסכום הכולל שיעמוד לרשותו של אלפרדו בתום השנה ה-9? חשבו גם באמצעות נוסחה וגם באמצעות כלי Excel. </t>
  </si>
  <si>
    <t xml:space="preserve">מהו הסכום הכולל שיעמוד לרשותו של חלפיניו בתום השנה ה-10? חשבו גם באמצעות נוסחה וגם באמצעות כלי Excel. </t>
  </si>
  <si>
    <t>אלפרדו מפקיד היום 20,000 ש״ח לתקופה של 9 שנים, בכל אחת מ-3 השנים הראשונות הריבית השנתית 4%, בכל אחת מ-4 השנים</t>
  </si>
  <si>
    <t>בוקינטה הפקידה 98,000 ש״ח לחסכון, בחלוף 9 שנים עמדו לרשותה 150,000 ש״ח. בהנחת ריבית דריבית (ברירת מחדל)</t>
  </si>
  <si>
    <t xml:space="preserve">חלצו את הריבית האפקטיבית השנתית שגלומה בחסכון. הציגו משוואה מתמטית אך פתרו בכלי Excel. </t>
  </si>
  <si>
    <t xml:space="preserve">קוקינדו הפקיד 500,000 ש״ח היום ובחלוף 3 שנים הפקיד 600,000 ש״ח. שני הסכומים צברו ריבית שנתית קבועה וידוע </t>
  </si>
  <si>
    <t>שהסכום הכולל שעמד לרשות קוקינדו בתום השנה ה-7 הוא 1,400,000 ש״ח. מהו שיעור הריבית השנתית המגולמת בעסקה?</t>
  </si>
  <si>
    <t>פתרו באמצעות משוואה מתמטית.</t>
  </si>
  <si>
    <t>שאלות נוספות לבית עם פתרונות מדהימים</t>
  </si>
  <si>
    <t>כאשר המטרה היא לחשב את הסכום הכולל הנצבר בעקבות הפקדה בודדת (סכום כולל נצבר = קרן - מה שהפקדנו + ריבית);</t>
  </si>
  <si>
    <t>אם הריבית קבועה ונתון שאופן החישוב שלה הוא שיטת הריבית הפשוטה, התהליך הוא פשוט:</t>
  </si>
  <si>
    <t>FV = 100,000 * (1 + 5% * 7) = 135,000</t>
  </si>
  <si>
    <t>סכום הקרן הראשונית</t>
  </si>
  <si>
    <t>במקרה זה: הפקדה</t>
  </si>
  <si>
    <t>במקרים אחרים - הלוואה</t>
  </si>
  <si>
    <t>לעתים מסומן כ-PV</t>
  </si>
  <si>
    <t>מלשון Present Value</t>
  </si>
  <si>
    <t>הסכום בהווה / הקרן בהווה</t>
  </si>
  <si>
    <t>הסכום הכולל בעתיד</t>
  </si>
  <si>
    <t>שמסומן כ-FV</t>
  </si>
  <si>
    <t>מלשון Future Value</t>
  </si>
  <si>
    <t>מתבססים על מכפלה ב-1</t>
  </si>
  <si>
    <t>ועוד הריבית; כי המטרה היא</t>
  </si>
  <si>
    <t>לקבל את הסכום הכולל,</t>
  </si>
  <si>
    <t>את הקרן (1) בתוספת</t>
  </si>
  <si>
    <t xml:space="preserve">הריבית. </t>
  </si>
  <si>
    <t xml:space="preserve">הואיל ונתון שהריבית </t>
  </si>
  <si>
    <t>הריבית הכוללת היא ריבית</t>
  </si>
  <si>
    <t xml:space="preserve">לתקופה / לשנה כפול </t>
  </si>
  <si>
    <r>
      <t xml:space="preserve">מחושבת </t>
    </r>
    <r>
      <rPr>
        <b/>
        <sz val="11"/>
        <color theme="1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,</t>
    </r>
  </si>
  <si>
    <t>FV = PV * (1 + r * n)</t>
  </si>
  <si>
    <t>כאשר: r היא הריבית</t>
  </si>
  <si>
    <t>ו-n מייצג את מספר תקופות הריבית</t>
  </si>
  <si>
    <t xml:space="preserve">FV = 50,000 * (1 + 7% * 3 + 9% * 5) = </t>
  </si>
  <si>
    <t>סכום ההפקדה הראשוני</t>
  </si>
  <si>
    <t xml:space="preserve">קרן התחלתית </t>
  </si>
  <si>
    <t>נקראת גם PV</t>
  </si>
  <si>
    <t>אחת ועוד סיכום הריביות</t>
  </si>
  <si>
    <t>לכל התקופות; 7% לשנה</t>
  </si>
  <si>
    <t xml:space="preserve">במשך 3 שנים, בתוספת </t>
  </si>
  <si>
    <t>ריבית 9% לשנה במשך 5 שנים</t>
  </si>
  <si>
    <t xml:space="preserve">משום שמדובר ב-8 שנים. </t>
  </si>
  <si>
    <t>בסך הכל</t>
  </si>
  <si>
    <t>FV = PV * (1 + r1 * n1 + r2 * n2 + …)</t>
  </si>
  <si>
    <t>סכום קרן ראשוני</t>
  </si>
  <si>
    <t>יכול להתייחס להפקדה או הלוואה</t>
  </si>
  <si>
    <t>אחת ועוד הריביות כולן;</t>
  </si>
  <si>
    <t>הריביות כולן: הריבית</t>
  </si>
  <si>
    <t>הראשונה r1 כפול מספר</t>
  </si>
  <si>
    <t>התקופות שבהן היא תקפה n1</t>
  </si>
  <si>
    <t>ועוד הריבית השניה r2 כפול</t>
  </si>
  <si>
    <t>מספר התקופות שבהן היא תקפה n2</t>
  </si>
  <si>
    <t xml:space="preserve">בשתי השאלות הקודמות ציינו מפורשות: הריבית מחושבת כריבית פשוטה. </t>
  </si>
  <si>
    <t xml:space="preserve">אם אין אזכור מפורש כזה, הגדרת ברירת המחדל היא שצריך לחשב ריבית בגישת ״ריבית דריבית״. </t>
  </si>
  <si>
    <t>FV = 90,000 * (1 + 5%) * (1 + 5%) * (1 + 5%) * …</t>
  </si>
  <si>
    <t>למעשה.. זה לא חישוב מלא אבל הוא מייצג את העובדה שבגישת ריבית דריבית באופן עקרוני, במקום לסכום ריביות,</t>
  </si>
  <si>
    <t>נוצרת שרשרת מכפלות ב- 1 ועוד הריבית. זה בעצם הרעיון של ריבית דריבית - ברירת מחדל.</t>
  </si>
  <si>
    <t>בתכל׳ס - הואיל וישנן 10 תקופות ריבית, המכפלות הללו תבוצענה 10 פעמים, וכפי שאבנר ציין - הרבה יותר יעיל להשתמש</t>
  </si>
  <si>
    <t>בחזקה.</t>
  </si>
  <si>
    <t>כלומר החישוב הוא:</t>
  </si>
  <si>
    <t>FV = 90,000 * (1 + 5%)^10 =</t>
  </si>
  <si>
    <t>קרן ראשונית PV</t>
  </si>
  <si>
    <t>סכום התחלתי</t>
  </si>
  <si>
    <t>כאשר הגישה היא ריבית</t>
  </si>
  <si>
    <t>דריבית, חישוב הצבירה</t>
  </si>
  <si>
    <t>מתבסס על שרשרת מכפלות</t>
  </si>
  <si>
    <t>מה שיוצר מעריך חזקה שמתאים</t>
  </si>
  <si>
    <t>למספר התקופות</t>
  </si>
  <si>
    <t>FV = PV * (1 + r)^n</t>
  </si>
  <si>
    <t>מקרא לנוסחה:</t>
  </si>
  <si>
    <t>ה-FV סך הצבירה בעתיד</t>
  </si>
  <si>
    <t>ה-PV קרן מקורית</t>
  </si>
  <si>
    <t>ה-r הריבית לתקופה</t>
  </si>
  <si>
    <t>ה-n מספר התקופות</t>
  </si>
  <si>
    <t>שאלות בגישת ריבית דריבית אפשר לפתור גם באמצעות פונקציות אקסל. נגדיר ונראה זאת:</t>
  </si>
  <si>
    <t>שיעור הריבית התקופתית בעסקה</t>
  </si>
  <si>
    <t>מספר תקופות הריבית number of periods</t>
  </si>
  <si>
    <t>לא רלוונטי, ישרת בחישובים אחרים, של סדרות תשלומים</t>
  </si>
  <si>
    <t>הקרן הראשונית הפקדה או הלוואה</t>
  </si>
  <si>
    <t>הנדרש - כאן יבוצע החישוב והתוצאה הנדרשת</t>
  </si>
  <si>
    <t>כאשר מדובר בהפקדה: סימן שלילי; בהלוואה שנטלתי - פלוס</t>
  </si>
  <si>
    <t>בשונה מהנוסחה המתמטית שעובדת עם ערכים מוחלטים, ב-Excel אשתדל להקפיד על סימן תזרימי מתאים.</t>
  </si>
  <si>
    <t xml:space="preserve">הווי אומר, אם הפקדתי - אזין ערך שלילי (כסף יוצא), אם לוויתי או נכנס תקבול, סימן חיובי. </t>
  </si>
  <si>
    <t xml:space="preserve">FV = 20,000 * (1 + 4%)^3 * (1 + 8%)^4 * (1 + 10%)^2 = </t>
  </si>
  <si>
    <t>FV = PV * (1 + r1)^n1 * (1+r2)^n2 * (1+r3)^n3 ….</t>
  </si>
  <si>
    <t>באקסל:</t>
  </si>
  <si>
    <t>שנים 1 - 3</t>
  </si>
  <si>
    <t>שנים 4-7</t>
  </si>
  <si>
    <t>שנים 8-9</t>
  </si>
  <si>
    <t>מה קרה כאן?</t>
  </si>
  <si>
    <t>הואיל וישנן 3 ריביות, יצרתי עמודה נפרדת לכל ריבית.</t>
  </si>
  <si>
    <t xml:space="preserve">בכל עמודה, חישבתי את צבירת הריבית (FV) בהתאם למספר תקופות הצבירה. </t>
  </si>
  <si>
    <t xml:space="preserve">כל חישוב ערך עתידי FV הפך להיות ה-PV של שלב החישוב הבא (בריבית החדשה) בסימן הפוך. </t>
  </si>
  <si>
    <t>בעצם, התייחסנו לכך רעיונית כאילו במועד שינוי הריבית, הסכום ״נפרע״ ו״הופקד מחדש״ על מנת לצבור ריבית בהתאם</t>
  </si>
  <si>
    <t xml:space="preserve">לריבית החדשה. </t>
  </si>
  <si>
    <t>שנים 1 - 4</t>
  </si>
  <si>
    <t>שנים 5-10</t>
  </si>
  <si>
    <r>
      <t xml:space="preserve">לאחר מכן הריבית </t>
    </r>
    <r>
      <rPr>
        <b/>
        <sz val="11"/>
        <color theme="1"/>
        <rFont val="David"/>
        <family val="2"/>
        <charset val="177"/>
      </rPr>
      <t>החודשית</t>
    </r>
    <r>
      <rPr>
        <sz val="11"/>
        <color theme="1"/>
        <rFont val="David"/>
        <family val="2"/>
        <charset val="177"/>
      </rPr>
      <t xml:space="preserve"> היא 3%.  </t>
    </r>
  </si>
  <si>
    <r>
      <t xml:space="preserve">חלפיניו מפקיד היום 20,000 ש״ח לתקופה של 10 שנים, בכל אחת מ-4 השנים הראשונות הריבית </t>
    </r>
    <r>
      <rPr>
        <b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1%, </t>
    </r>
  </si>
  <si>
    <t>שימו לב: הואיל והריבית בתקופה השניה</t>
  </si>
  <si>
    <t>היא ריבית חודשית, ה-nper היה מספר</t>
  </si>
  <si>
    <r>
      <t xml:space="preserve">החודשים ב-6 השנים כלומר </t>
    </r>
    <r>
      <rPr>
        <sz val="11"/>
        <color rgb="FFFF0000"/>
        <rFont val="David"/>
        <family val="2"/>
        <charset val="177"/>
      </rPr>
      <t>72</t>
    </r>
    <r>
      <rPr>
        <sz val="11"/>
        <color theme="1"/>
        <rFont val="David"/>
        <family val="2"/>
        <charset val="177"/>
      </rPr>
      <t xml:space="preserve"> = 12 * 6</t>
    </r>
  </si>
  <si>
    <t>98,000 * (1 + r)^9 = 150,000</t>
  </si>
  <si>
    <t>זו המשוואה המתקיימת:</t>
  </si>
  <si>
    <t>אבל אנו נפתור ב-Excel:</t>
  </si>
  <si>
    <t xml:space="preserve">סהר אביטל תתייבש רווקה 28 שנים עד אשר תגיע לסכום הנדרש. </t>
  </si>
  <si>
    <t>הפרופיל
של המרצה
בטינדר</t>
  </si>
  <si>
    <t>3..5</t>
  </si>
  <si>
    <r>
      <t xml:space="preserve">שאלה 6 - סטודנטיות וסטודנטים, </t>
    </r>
    <r>
      <rPr>
        <b/>
        <sz val="11"/>
        <color rgb="FFFF0000"/>
        <rFont val="David"/>
        <family val="2"/>
        <charset val="177"/>
      </rPr>
      <t>לבית</t>
    </r>
  </si>
  <si>
    <t>שיעור 3 - ערך נוכחי - 9.4.2025</t>
  </si>
  <si>
    <t>ערך נוכחי של סכום יחיד (תקבול בודד</t>
  </si>
  <si>
    <t>בעתיד) מתקבל על ידי חלוקתו ב-1 ועוד</t>
  </si>
  <si>
    <t>הריבית בחזקת מספר התקופות</t>
  </si>
  <si>
    <t>ריבית שנתית נתונה</t>
  </si>
  <si>
    <t>מספר השנים כמס׳ תקו׳ ריבית</t>
  </si>
  <si>
    <t>הסכום החד פעמי הבודד בסוף</t>
  </si>
  <si>
    <t>אין סדרת תזרימים</t>
  </si>
  <si>
    <t>הסכום היום</t>
  </si>
  <si>
    <t>מסקנה: יש להפקיד היום 907.03 ש״ח!</t>
  </si>
  <si>
    <t>ד״ר צבאן מפעיל עסק למכירת מחשבי Macbook Air M1 באור יהודה. לאחרונה, פנה אליו סטודנט חביב (ליאור) בקורס ״יסודות</t>
  </si>
  <si>
    <t>אדישות מצד הרוכש בין תשלום נדחה באשראי לתשלום מיידי במזומן תתקיים כאשר:</t>
  </si>
  <si>
    <t>PV(Mezuman) = PV(Credit)</t>
  </si>
  <si>
    <t xml:space="preserve">בעברית: כאשר הערך הנוכחי של התשלום במזומן זהה לערך הנוכחי של התשלום הנדחה / באשראי. </t>
  </si>
  <si>
    <r>
      <rPr>
        <b/>
        <sz val="11"/>
        <color theme="1"/>
        <rFont val="David"/>
        <family val="2"/>
        <charset val="177"/>
      </rPr>
      <t>הערך הנוכחי של התשלום במזומן</t>
    </r>
    <r>
      <rPr>
        <sz val="11"/>
        <color theme="1"/>
        <rFont val="David"/>
        <family val="2"/>
        <charset val="177"/>
      </rPr>
      <t xml:space="preserve">: גובהו של התשלום במזומן - נטו, לאחר הנחה. </t>
    </r>
    <r>
      <rPr>
        <b/>
        <sz val="11"/>
        <color theme="1"/>
        <rFont val="David"/>
        <family val="2"/>
        <charset val="177"/>
      </rPr>
      <t>סכום זה לא ידוע. PV = x.</t>
    </r>
    <r>
      <rPr>
        <sz val="11"/>
        <color theme="1"/>
        <rFont val="David"/>
        <family val="2"/>
        <charset val="177"/>
      </rPr>
      <t xml:space="preserve"> </t>
    </r>
  </si>
  <si>
    <t>הערך הנוכחי של התשלום הנדחה / באשראי: מדובר ב-4,000 ש״ח שישולמו כסכום בודד בעוד 4 חודשים והריבית החודשית 2%.</t>
  </si>
  <si>
    <t>הסכום שמשולם בעתיד על ידי הצרכן</t>
  </si>
  <si>
    <t>מספר תקופות הריבית, כאן - כמספר החודשים</t>
  </si>
  <si>
    <t>אין סדרה, סכום יחיד</t>
  </si>
  <si>
    <t>פרופיל הטינדר של המרצה</t>
  </si>
  <si>
    <t>כי אין סדרה</t>
  </si>
  <si>
    <t xml:space="preserve">כלכלית: לשלם 4,000 ש״ח בעוד 4 חודשים שקול כלכלית לתשלום 3,695 ש״ח במזומן מיידי. </t>
  </si>
  <si>
    <t xml:space="preserve">התשלום במזומן שיוביל לאדישות להסדר באשראי הוא 3,695. </t>
  </si>
  <si>
    <t>פתרון סעיף ב</t>
  </si>
  <si>
    <t>הסעיף ציין שאם משלמים במזומן מקבלים הנחה של 5% ביחס ל-4,000 השקלים.</t>
  </si>
  <si>
    <t>האם עדיף מזומן או אשראי?</t>
  </si>
  <si>
    <t>בנתונים הקיימים, הסכום במזומן, אחרי הנחה, יהיה:</t>
  </si>
  <si>
    <t>אם אני משלם בתשלומים, הערך הנוכחי (השווי) PV של זה:</t>
  </si>
  <si>
    <t>ראו סעיף קודם</t>
  </si>
  <si>
    <t>עדיף לשלם בתשלום נדחה ==== זה זול יותר! 3,695 &lt; 3,800</t>
  </si>
  <si>
    <t>תמצית:</t>
  </si>
  <si>
    <t>אם הסיטואציה היא:</t>
  </si>
  <si>
    <t>ניתן לשלם בעתיד</t>
  </si>
  <si>
    <t>או</t>
  </si>
  <si>
    <t>ניתן לשלם היום בניכוי הנחה</t>
  </si>
  <si>
    <t>אדישות תתקיים כאשר PV תשלום עתידי (מחושב) = תשלום במזומן נטו, אחרי הנחה</t>
  </si>
  <si>
    <t>***</t>
  </si>
  <si>
    <t>אם שיעור (אחוז) ההנחה נתון ====&gt; ניתן לחשב את הסכום במזומן, נטו</t>
  </si>
  <si>
    <t>ונחליט האם הוא משתלם או לא על ידי השוואותו ל- PV של התשלום העתידי</t>
  </si>
  <si>
    <t>B119</t>
  </si>
  <si>
    <t>C119</t>
  </si>
  <si>
    <t>C118</t>
  </si>
  <si>
    <r>
      <t xml:space="preserve">הואיל וישנם </t>
    </r>
    <r>
      <rPr>
        <b/>
        <sz val="11"/>
        <color theme="1"/>
        <rFont val="David"/>
        <family val="2"/>
        <charset val="177"/>
      </rPr>
      <t>שינויי ריבית מרובים</t>
    </r>
    <r>
      <rPr>
        <sz val="11"/>
        <color theme="1"/>
        <rFont val="David"/>
        <family val="2"/>
        <charset val="177"/>
      </rPr>
      <t>, אין שום אפשרות ליישם PV בחישוב אחד ויחיד שיוביל לתוצאה הנדרשת.</t>
    </r>
  </si>
  <si>
    <r>
      <t>מה שכן אפשר... זה להיות יצירתי: לעבוד ״</t>
    </r>
    <r>
      <rPr>
        <b/>
        <sz val="11"/>
        <color theme="1"/>
        <rFont val="David"/>
        <family val="2"/>
        <charset val="177"/>
      </rPr>
      <t>מהסוף להתחלה</t>
    </r>
    <r>
      <rPr>
        <sz val="11"/>
        <color theme="1"/>
        <rFont val="David"/>
        <family val="2"/>
        <charset val="177"/>
      </rPr>
      <t>״.</t>
    </r>
  </si>
  <si>
    <t>תמיד כששואלים ״מה השווי היום״ או ״כמה הפקדת היום״ או ״מה המחיר המירבי שאתה מוכן לשלם היום״ = עוסקים ב- PV.</t>
  </si>
  <si>
    <t xml:space="preserve">הואיל והסכום גדל מ-36,000 ל-40,068 ללא הפקדות נוספות - </t>
  </si>
  <si>
    <t>המשמעות היא שבתכנית הזו יש ריבית. הריבית קבועה אלא אם נאמר אחרת.</t>
  </si>
  <si>
    <t xml:space="preserve">נחלץ את הריבית השנתית בתקופה הזו - ונעבוד איתה לחשב את ה-PV לזמן 0. </t>
  </si>
  <si>
    <t>אין סדרה קבועה</t>
  </si>
  <si>
    <t>הסכום הכולל שנצבר בתום שנה 4</t>
  </si>
  <si>
    <t>למעשה ״מתייחסים לזה כאילו הפקידו בזמן 2 סכום של 36,000״</t>
  </si>
  <si>
    <t xml:space="preserve">התשובה הסופית - הסכום אותו הפקידה ד״ר גליונה הוא 32,345 ש״ח. </t>
  </si>
  <si>
    <t>שאלה 4.1</t>
  </si>
  <si>
    <t xml:space="preserve">נועה חוסכת למכונת חימום נקניק. </t>
  </si>
  <si>
    <t>בחלוף 4 שנים נצברו לרשותה 250,000 ש״ח ובחלוף 7 שנים נוספות (בתום השנה ה-11) נצברו לרשותה 440,000 ש״ח.</t>
  </si>
  <si>
    <t>בהנחה שנועה הפקידה סכום יחיד במועד פתיחת החסכון, מהו הסכום שהופקד?</t>
  </si>
  <si>
    <t>חילוץ ריבית</t>
  </si>
  <si>
    <t>בהתאם לצבירה</t>
  </si>
  <si>
    <t>מזמן 4</t>
  </si>
  <si>
    <t>לזמן 11</t>
  </si>
  <si>
    <t>שימוש בריבית</t>
  </si>
  <si>
    <t xml:space="preserve">שחילצנו </t>
  </si>
  <si>
    <t>כדי לתרגם</t>
  </si>
  <si>
    <t>ל- PV זמן 0</t>
  </si>
  <si>
    <t>מסקנה: נועה הפקידה במועד פתיחת</t>
  </si>
  <si>
    <t>החסכון סכום של 180,987</t>
  </si>
  <si>
    <t>שיעור 4 - ערך נוכחי של סדרות - 23/4/2025</t>
  </si>
  <si>
    <t>רמה: גבוהה (מתקרב למבחן)</t>
  </si>
  <si>
    <t>הסכום המינימלי שנדרוש</t>
  </si>
  <si>
    <t>חלף סדרת התשלומים</t>
  </si>
  <si>
    <t xml:space="preserve">הוא 285.94. </t>
  </si>
  <si>
    <t>הלווה משלם 3,500 כל חודש</t>
  </si>
  <si>
    <t>אין תשלום / תקבול חד פעמי בסוף</t>
  </si>
  <si>
    <t>תשלומים בסוף כל חודש וזו גם ברירת מחדל</t>
  </si>
  <si>
    <t>שבועות</t>
  </si>
  <si>
    <t>pmt = ?</t>
  </si>
  <si>
    <t>nper = 50</t>
  </si>
  <si>
    <t>rate = 0.1%</t>
  </si>
  <si>
    <t>מושך: 5,000</t>
  </si>
  <si>
    <t>יום הולדת</t>
  </si>
  <si>
    <t>משיכות:</t>
  </si>
  <si>
    <t>pmt = 500</t>
  </si>
  <si>
    <t>nper =12</t>
  </si>
  <si>
    <t>תהליך העבודה העקרוני הוא:</t>
  </si>
  <si>
    <t>נבדוק כמה כסף צריך להצטבר לתום השבוע ה-50 כדי לאפשר את חגיגות יום ההולדת.</t>
  </si>
  <si>
    <t xml:space="preserve">סכום זה הוא למעשה הערך הנוכחי PV של המתנות, לזמן 50. </t>
  </si>
  <si>
    <t>בסיום סדרת המשיכות אין יתרה או סכום נוסף</t>
  </si>
  <si>
    <t>המשיכות הן בתחילת כל תקופה (לראשונה בתחילת 51 = זמן 50)</t>
  </si>
  <si>
    <t>ערך נוכחי של סדרה ב-type=1 מוביל בדיוק לעיתוי איברה הראשון</t>
  </si>
  <si>
    <t>מסקנה: אם כל מה שהייתי צריך לעשות זה לממן את 12 התשלומים בסך 500 כל אחד, הייתי צריך לצבור בחסכון לזמן 50:</t>
  </si>
  <si>
    <t>לזה נוסיף את המתנה החד פעמית בזמן 50:</t>
  </si>
  <si>
    <t>סך צבירה נדרשת לתום 50 כדי להגשים לה:</t>
  </si>
  <si>
    <t>ועכשיו נוכל לומר: ״מהו סכום ההפקדה הסוף - שבועי במשך 50 שבועות, אשר יוביל לכך שבתום השבוע ה-50 יעמוד לרשותכם 10,967.14 ש״ח,</t>
  </si>
  <si>
    <t>בהנחה שהריבית השבועית 0.1%״?</t>
  </si>
  <si>
    <t>ריבית שבועית נתונה</t>
  </si>
  <si>
    <t>מספר הפקדות שבועיות</t>
  </si>
  <si>
    <t>אין כאן הפקדה ראשונית חד פעמית / סכום התחלתי בזמן 0</t>
  </si>
  <si>
    <t>סך הצבירה הנדרשת</t>
  </si>
  <si>
    <t>ההפקדות שלי הן בתום כל חודש</t>
  </si>
  <si>
    <t>חילוץ התשלום התקופתי הקבוע</t>
  </si>
  <si>
    <t>מסקנה: אם אפקיד בסוף כל שבוע 214 ש״ח במשך 50 שבועות, אוכל לממן סדרת משיכות של 500 כל אחת וגם מענק חד פעמי של 5,000 בזמן 50.</t>
  </si>
  <si>
    <t>שאלה נוספת</t>
  </si>
  <si>
    <t xml:space="preserve">ד״ר צבאן מעונין להפקיד בתום כל חודש במשך 4 שנים סכום קבוע כדי להגשים חלום: מכונת חימום נקניק בבית החדש. </t>
  </si>
  <si>
    <t>מכונת הנקניק תעלה 50,000 ש״ח, ובנוסף יש לשלם עלויות תחזוקה שלה בתחילת כל חודש (החל מתחילת שנה 5)</t>
  </si>
  <si>
    <t xml:space="preserve">סכום קבוע של 2,000 ש״ח במשך 6 שנים. </t>
  </si>
  <si>
    <t>בהנחה שהריבית החודשית 0.5%, כמה צריך ד״ר צבאן להפקיד כל חודש, כדי להגשים את החלום?</t>
  </si>
  <si>
    <t>סדרת משיכות</t>
  </si>
  <si>
    <t>תחילת תקופה</t>
  </si>
  <si>
    <t>מס׳ משיכות</t>
  </si>
  <si>
    <t>סכום תשלום</t>
  </si>
  <si>
    <t>לחישוב</t>
  </si>
  <si>
    <t>אין</t>
  </si>
  <si>
    <t>קחו את ה-PV שיצא, הוסיפו לו את עלות</t>
  </si>
  <si>
    <t xml:space="preserve">המכונה. </t>
  </si>
  <si>
    <t xml:space="preserve">שלב 1: עלויות התחזוקה בלבד. </t>
  </si>
  <si>
    <t>שלב 2: הוסף את עלות המכונה</t>
  </si>
  <si>
    <t>שלב 3: התייחסו לסיכום בשלב 2 אליו</t>
  </si>
  <si>
    <t>כאל FV וחלצו את הPMT של החסכון החודשי</t>
  </si>
  <si>
    <t>pv משיכות</t>
  </si>
  <si>
    <t>pmt הפקדות</t>
  </si>
  <si>
    <t>נייר עבודה מינימליסטי מהיר לכל השלבים:</t>
  </si>
  <si>
    <t xml:space="preserve">מסקנה: עליי להפקיד בתום כל חודש </t>
  </si>
  <si>
    <t xml:space="preserve">במשך 4 שנים סכום של 3,166.16, </t>
  </si>
  <si>
    <t>אם אעשה זאת אצבור מספיק</t>
  </si>
  <si>
    <t>כדי לקנות מכונת נקניק ולתחזק אותה</t>
  </si>
  <si>
    <t>במשך 5 שנים</t>
  </si>
  <si>
    <t xml:space="preserve">הרצאה 5 - 7.5.2025 - חישובי ריבית אפקטיבית </t>
  </si>
  <si>
    <t>שאלה 0 - חישוב ריבית אפקטיבית על בסיס ריבית נקובה, המקרה של ריבית דריבית</t>
  </si>
  <si>
    <t>חשבו את הריבית האפקטיבית השנתית בכל אחד מהמקרים הבאים:</t>
  </si>
  <si>
    <t xml:space="preserve">א. ריבית נקובה חצי שנתית בשיעור 12% המחושבת כל חודש. </t>
  </si>
  <si>
    <t>ב. ריבית נקובה חצי שנתית בשיעור 12% המחושבת כל חודשיים.</t>
  </si>
  <si>
    <t xml:space="preserve">ג. ריבית נקובה שנתית בשיעור 8% המחושבת כל שנה. </t>
  </si>
  <si>
    <t xml:space="preserve">ד. ריבית נקובה שנתית בשיעור 6% המחושבת כל חצי שנה. </t>
  </si>
  <si>
    <t>מה זה אומר ״ריבית המחושבת כל חודש״? זה אומר שכל חודש הבנק הנבלה עוצר ומוסיף את הריבית היחסית לקרן.</t>
  </si>
  <si>
    <t>נניח שהסכום הוא 1 ש״ח. אחרי חודש אחד הבנק אומר:</t>
  </si>
  <si>
    <t>1 + 12%/6 = 1 + 2% = 1.02</t>
  </si>
  <si>
    <t>חולף עוד חודש. הבנק אומר - אני מחשב לך שוב ריבית הפעם על 1.02:</t>
  </si>
  <si>
    <t xml:space="preserve">1.02 + 2% * 1.02 = 1.02 * 1.02 </t>
  </si>
  <si>
    <t>חולף עוד חודש. הגענו לסוף חודש 3. הבנק שוב מחייב בריבית:</t>
  </si>
  <si>
    <t>1.02 * 1.02 * 1.02 ....</t>
  </si>
  <si>
    <t>לאחר שנה שלמה:</t>
  </si>
  <si>
    <t>1.02^12</t>
  </si>
  <si>
    <t>הריבית האפקטיבית השנתית באחוזים היא היחס בין סך התשלום אחרי שנה לבין הקרן הראשונית:</t>
  </si>
  <si>
    <t>הנוסחה שאיתה נעבוד כדי לקצר את התהליך תהיה:</t>
  </si>
  <si>
    <t>הריבית האפקטיבית שאליה רוצים להגיע. כאן: ריבית אפקטיבית לשנה</t>
  </si>
  <si>
    <t>הריבית הנקובה הנתונה. כאן: ריבית נקובה לחצי שנה</t>
  </si>
  <si>
    <t>כמה תקופות חישוב ריבית ״נכנסות״ בתקופה הנקובה הנתונה</t>
  </si>
  <si>
    <t>כמה תקופות חישוב ריבית ״נכנסות״ בתקופה הנדרשת</t>
  </si>
  <si>
    <t>הסיבה המתמטית ל 1 ומינוס אחת בנוסחה היא שרוצים לחשב את הריבית על הקרן (1)</t>
  </si>
  <si>
    <t xml:space="preserve">ולאחר סיום החישוב מנכים את הקרן כדי להשאר עם הריבית בלבד. </t>
  </si>
  <si>
    <t>הרחבה</t>
  </si>
  <si>
    <t>חזרה על א בנוסחה המקוצרת:</t>
  </si>
  <si>
    <t>מהי הריבית האפקטיבית השנתית אם הנקובה החצי שנתית 12%</t>
  </si>
  <si>
    <t>והיא מחושבת כל חודש?</t>
  </si>
  <si>
    <t>ה-n הוא התשובה לשאלה: כמה תקופות חישוב ריבית (חודשיים)</t>
  </si>
  <si>
    <t xml:space="preserve">נכנסות בתקופה הנקובה (חצי שנה) - התשובה: 3. </t>
  </si>
  <si>
    <t>ה-m הוא התשובה לשאלה: כמה תקופות חישוב ריבית (חודשיים)</t>
  </si>
  <si>
    <t xml:space="preserve">נכנסות בתקופה הנדרשת (כאן - רצו ריבית אפקטיבית לשנה). התשובה: 6. </t>
  </si>
  <si>
    <t>שאלה 0.1</t>
  </si>
  <si>
    <t xml:space="preserve">מהו הערך הנוכחי של סדרת תשלומים חודשיים בסך 1,000 ש״ח במשך שנה (בסוף כל חודש) אם הריבית הנקובה </t>
  </si>
  <si>
    <t xml:space="preserve">החצי שנתית היא 3%, מחושבת כל חודש. </t>
  </si>
  <si>
    <t>כאשר אני נתקל בחישוב ערך נוכחי או עתידי של סדרה, אני חייב את הריבית לתקופת תשלום בסדרה.</t>
  </si>
  <si>
    <t>במלים אחרות, גם אם הסדרה היא לשנה, או שנתיים, או עשרים שנה - אם התשלומים הם כל חודש, אני חייב</t>
  </si>
  <si>
    <t xml:space="preserve">להתייחס ל-rate בתור ריבית אפקטיבית לחודש. </t>
  </si>
  <si>
    <t>שימו לב: תהליך העבודה כאן חייב להיות הדרגתי כדי לא להתבלבל:</t>
  </si>
  <si>
    <t xml:space="preserve">שלב 1 - זהה את תקופת הריבית שאתה רוצה. בשאלה הקודמת אמרו שצריך ריבית לשנה, זה היה קל. </t>
  </si>
  <si>
    <t xml:space="preserve">כאן, לא אמרו איזו ריבית צריך. אני צריך להסיק בעצמי שהואיל ומדובר בסדרה שכוללת תשלומים </t>
  </si>
  <si>
    <t xml:space="preserve">חודשיים, הריבית הנדרשת היא לחודש אחד בלבד. </t>
  </si>
  <si>
    <t>שלב 2 - לטובת קביעת ה-m (מעריך החזקה) חשוב להבין שתקופת הריבית הנדרשת היא זו שזיהית</t>
  </si>
  <si>
    <t xml:space="preserve">בשלב 1. </t>
  </si>
  <si>
    <t>שאלה 0.2</t>
  </si>
  <si>
    <t xml:space="preserve">נועה צפויה לקבל 2,000 ש״ח בתום כל חודשיים במשך שנתיים. </t>
  </si>
  <si>
    <t xml:space="preserve">הריבית השנתית הנקובה 12%, מחושבת כל חצי שנה. </t>
  </si>
  <si>
    <t>מהו הסכום המירבי שתסכים נועה לשלם היום בעד ההסדר?</t>
  </si>
  <si>
    <t xml:space="preserve">כל עבודה עם סדרה מחייבת לדעת מהי הריבית האפקטיבית לפרק הזמן בין תשלומים. </t>
  </si>
  <si>
    <t>כאן, התשלומים הם כל חודשיים - אני חייב את הריבית האפקטיבית לחודשיים!</t>
  </si>
  <si>
    <t>מדוע חלקי 2?</t>
  </si>
  <si>
    <t>המכנה הוא התשובה לשאלה: כמה תקופות חישוב (כאן: חצי שנה)</t>
  </si>
  <si>
    <t xml:space="preserve">נכנסות בתקופה הנקובה (כאן: שנה). </t>
  </si>
  <si>
    <t xml:space="preserve">לכן: 2. </t>
  </si>
  <si>
    <t>מדוע במעריך 2/6?</t>
  </si>
  <si>
    <t xml:space="preserve">נכנסות בתקופה הנדרשת (חודשיים). </t>
  </si>
  <si>
    <t>המעריך הוא התשובה לשאלה: כמה תקופות חישוב (חצי שנה) - 6 חודשים</t>
  </si>
  <si>
    <t>התשובה 2/6 - ולמי שמתקשה: או: ״היחס בין הרצוי למצוי״</t>
  </si>
  <si>
    <t>התקופה הנדרשת</t>
  </si>
  <si>
    <t>כאן - חודשיים</t>
  </si>
  <si>
    <t>תקופת החישוב שבסוגריים</t>
  </si>
  <si>
    <t>שהיא חצי שנה</t>
  </si>
  <si>
    <t>עד כאן הגענו בפועל בהרצאה 5, להלן מספר תרגילים לתרגול עצמי עם פתרון מלא</t>
  </si>
  <si>
    <t>שאלה 1 - חישוב ריבית אפקטיבית</t>
  </si>
  <si>
    <t>שאלה 2 - חישוב ריבית אפקטיבית בהתחשב בריבית דריבית</t>
  </si>
  <si>
    <t>שאלה 3 - נתונה ריבית נקובה, ריבית דריבית, חישוב ריבית אפקטיבית לתקופה שונה משנה</t>
  </si>
  <si>
    <t xml:space="preserve">הרצאה 6 - 14.5.2024 - חישובי ריבית אפקטיבית </t>
  </si>
  <si>
    <t>מחלק ב-12 (n):</t>
  </si>
  <si>
    <t>התשובה לשאלה</t>
  </si>
  <si>
    <t>כמה תקופות חישוב (חודש)</t>
  </si>
  <si>
    <t>נכנסות בתקופה הנקובה  (שנה)</t>
  </si>
  <si>
    <t>מעלה בחזקת 12 (m)</t>
  </si>
  <si>
    <t>כמה תקופות חישוב</t>
  </si>
  <si>
    <t>נכנסות בתקופה האפקטיבית (שנה)</t>
  </si>
  <si>
    <t>מה שקיבלתי: ריבית נקובה שנתית</t>
  </si>
  <si>
    <r>
      <rPr>
        <b/>
        <sz val="12"/>
        <rFont val="David"/>
        <family val="2"/>
        <charset val="177"/>
      </rPr>
      <t>19.5618%</t>
    </r>
    <r>
      <rPr>
        <sz val="12"/>
        <rFont val="David"/>
        <family val="2"/>
        <charset val="177"/>
      </rPr>
      <t xml:space="preserve"> = (1 + x/12)^12 - 1</t>
    </r>
  </si>
  <si>
    <t>כאשר הריבית הנתונה נקובה המחושבת כל ---- כדי להמיר לאפקטיבית צריך גם חלוקה, גם חזקה, גם n גם m... מעצבן קצת.</t>
  </si>
  <si>
    <t>כאשר הריבית הנתונה אפקטיבית --- ורק רוצים אפקטיבית לתקופה אחרת ---- צריך רק חזקה. וזהו. וזה המקרה פה.</t>
  </si>
  <si>
    <t>ה-re היא הריבית האפקטיבית לתקופה הנדרשת</t>
  </si>
  <si>
    <t>ה-r זו הריבית האפקטיבית הנתונה</t>
  </si>
  <si>
    <t>ה-m ״מה היחס בין התקופה הנדרשת לתקופה הנתונה״</t>
  </si>
  <si>
    <r>
      <t xml:space="preserve">א. ריבית </t>
    </r>
    <r>
      <rPr>
        <u/>
        <sz val="12"/>
        <color theme="1"/>
        <rFont val="David"/>
        <family val="2"/>
        <charset val="177"/>
      </rPr>
      <t>שנתית נקובה</t>
    </r>
    <r>
      <rPr>
        <sz val="12"/>
        <color theme="1"/>
        <rFont val="David"/>
        <family val="2"/>
        <charset val="177"/>
      </rPr>
      <t xml:space="preserve"> בשיעור 6% המחושבת כל </t>
    </r>
    <r>
      <rPr>
        <b/>
        <u/>
        <sz val="12"/>
        <color theme="1"/>
        <rFont val="David"/>
        <family val="2"/>
        <charset val="177"/>
      </rPr>
      <t>חודש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</si>
  <si>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נדרש: חשבו ריבית </t>
    </r>
    <r>
      <rPr>
        <b/>
        <sz val="12"/>
        <color theme="1"/>
        <rFont val="David"/>
        <family val="2"/>
        <charset val="177"/>
      </rPr>
      <t>אפקטיבית חצי שנתית</t>
    </r>
    <r>
      <rPr>
        <sz val="12"/>
        <color theme="1"/>
        <rFont val="David"/>
        <family val="2"/>
        <charset val="177"/>
      </rPr>
      <t xml:space="preserve"> בכל חלופה. באיזו תכנית יבחר אלירן?</t>
    </r>
  </si>
  <si>
    <t>בתום התקופה מחזירים את הקרן המקורית (בהתעלם מעמלת עריכת מסמכים) כפול אחת ועוד הריבית בחזקה המתאימה.</t>
  </si>
  <si>
    <t xml:space="preserve">הואיל והריבית השנתית היא נקובה 9% המחושבת כל רבעון, נצטרך לחלק אותה ב-4, ואז בחזקה 4 (כדי לתרגם לשנה). </t>
  </si>
  <si>
    <t xml:space="preserve">Pt = </t>
  </si>
  <si>
    <t>תזרים בזמן 0 נטו</t>
  </si>
  <si>
    <t>תזרים בסוף נטו</t>
  </si>
  <si>
    <t>שאלה נוספת - שילוב של עמלות וריבית דריבית כדי להגיע לריבית אפקטיבית</t>
  </si>
  <si>
    <t xml:space="preserve">נועה שוקלת לרכוש מבנה שישרת את הנהלת החברה לשם חימום נקניק לכל העובדים. </t>
  </si>
  <si>
    <t xml:space="preserve">סכום ההלוואה 700,000 ש״ח. תקופתה - שנה וחצי. </t>
  </si>
  <si>
    <t>במועד העמדת ההלוואה נדרש לשלם:</t>
  </si>
  <si>
    <t>א. עמלת עריכת מסמכים בסך 4,000 ש״ח</t>
  </si>
  <si>
    <t xml:space="preserve">ההלוואה נושאת ריבית שנתית נקובה בשיעור 12% המחושבת כל חודשיים. </t>
  </si>
  <si>
    <t xml:space="preserve">במועד פירעון ההלוואה, נדרש להוסיף לסכום לסילוק עמלת סיום הלוואה בסך 8,000 ש״ח. </t>
  </si>
  <si>
    <t>נדרש: (1) מהי הריבית האפקטיבית לכל תקופת העסקה. (2) מהי הריבית האפקטיבית השנתית.</t>
  </si>
  <si>
    <t>ב. עמלת הבנק החזיר (Pig, Oink Oink) בשיעור 3% מהקרן המוגדרת</t>
  </si>
  <si>
    <t>שנים</t>
  </si>
  <si>
    <t>קרן הלוואה בהסכם</t>
  </si>
  <si>
    <t>ניכוי עמלת עריכת מסמכים</t>
  </si>
  <si>
    <t>עמלה נוספת 3% מהקרן בהסכם</t>
  </si>
  <si>
    <t>תזרים נטו בזמן 0 - P0</t>
  </si>
  <si>
    <t>עמלת סילוק</t>
  </si>
  <si>
    <t xml:space="preserve">פרעון קרן וריבית </t>
  </si>
  <si>
    <t>תזרים נטו בסיום ההסכם - Pt</t>
  </si>
  <si>
    <t>(1) מהי הריבית האפקטיבית לכל תקופת העסקה (לשנה וחצי):</t>
  </si>
  <si>
    <t>(2) בהמשך לנדרש 1 - מהי הריבית האפקטיבית לשנה אחת:</t>
  </si>
  <si>
    <t>הריבית האפקטיבית לשנה וחצי כבר ידועה לי (נדרש 1) --- המרה של ריבית אפקטיבית מתקופה אחת לאחרת (כאן: משנה וחצי לשנה)</t>
  </si>
  <si>
    <t xml:space="preserve">מבוצעת באמצעות מעריך חזקה מתאים בלבד, ללא כפל, ללא חילוק. </t>
  </si>
  <si>
    <t>ה-m הוא התשובה לשאלה:</t>
  </si>
  <si>
    <t>מה היחס בין התקופה הנדרשת</t>
  </si>
  <si>
    <t xml:space="preserve">לבין התקופה שיש לי </t>
  </si>
  <si>
    <t>בנק המועלים מציע ללקוחותיו שני מסלולי פקדונות לשנתיים:</t>
  </si>
  <si>
    <t>א. הפקד 100,000 היום, קבל מיד תיק ג׳אנספורט ומארז 12 קראנץ׳ קורנפלקס (שווי המתנות במזומן 4,000 ש״ח)</t>
  </si>
  <si>
    <t>בסיום השנתיים תקבל את הקרן בתוספת ריבית נקובה שנתית בשיעור 6% המחושבת כל חצי שנה וכן חתימה מקורית</t>
  </si>
  <si>
    <t>של נועה ששוויה במזומן 15,000 ש״ח.</t>
  </si>
  <si>
    <t xml:space="preserve">ב. הפקד 100,000 היום, ובסיום השנתיים תקבל את הקרן בתוספת ריבית נקובה שנתית בשיעור 8% המחושבת </t>
  </si>
  <si>
    <t xml:space="preserve">אחת לשנה. </t>
  </si>
  <si>
    <t xml:space="preserve">נדרש: מהי הריבית האפקטיבית לשנתיים ולשנה בכל מסלול? בהתאם איזה מסלול יועדף. </t>
  </si>
  <si>
    <t>מסלול א:</t>
  </si>
  <si>
    <t>מסלול ב - חישוב רגיל של המרת נקובה שנתית המחושבת מספר פעמים לאפקטיבית לשנתיים:</t>
  </si>
  <si>
    <t>כאשר אני מפקיד 100,000 - זה בסימן שלילי</t>
  </si>
  <si>
    <t>אבל אם מיד במועד ההפקדה אני מקבל זיכוי</t>
  </si>
  <si>
    <t>או מתנה, או ערך חיובי - אוסיף אותו לערך</t>
  </si>
  <si>
    <t>שלילי זה כך שסכום הנטו יקטן</t>
  </si>
  <si>
    <t>במקרה שלנו: הפקדה 100,000-</t>
  </si>
  <si>
    <t>תקבול בגין מתנה 4,000 +</t>
  </si>
  <si>
    <t>סך תזרים נטו בזמן 0: 96,000-</t>
  </si>
  <si>
    <t>על פי הנתון: הבנק ישלם את הקרן בהסכם (100,000)</t>
  </si>
  <si>
    <t>יחד עם הריבית: נקובה שנתית 6%, מחושבת כל חצי שנה</t>
  </si>
  <si>
    <t xml:space="preserve">100,000 * (1 + 6%/2)^4 </t>
  </si>
  <si>
    <t>לכך נוסיף את שווי המתנה 15,000</t>
  </si>
  <si>
    <t>כך שהסכום הכולל שנקבל:</t>
  </si>
  <si>
    <t>100,000 * (1 + 6%/2)^4  + 15,000 = 127,551</t>
  </si>
  <si>
    <t>שימו לב - בטכניקה שעמה פועלים, היחס בין תזרימי המזומנים בסוף ובתחילה יירשם בערך מוחלט.</t>
  </si>
  <si>
    <t>המרה של ריבית אפקטיבית מתקופה אחת לאחרת לעולם לא יבוצע בגישה של כפל או חילוק, אלא באמצעות</t>
  </si>
  <si>
    <t>מעריך חזקה מתאים שמבוסס על הנוסחה הבאה:</t>
  </si>
  <si>
    <t>הערה</t>
  </si>
  <si>
    <t>הערה: בשיעור התייחסתי לפרעון</t>
  </si>
  <si>
    <t>הקרן ועמלת הסילוק בערך חיובי.</t>
  </si>
  <si>
    <t>סטודנטים אמרו לי שיותר קל להם להתייחס</t>
  </si>
  <si>
    <t>לזה בסימן שלילי - אבל במצב כזה בנוסחה תדאגו</t>
  </si>
  <si>
    <t xml:space="preserve">לקחת ערך מוחלט. </t>
  </si>
  <si>
    <t>הרצאה 7 - 21.5.2025 - חישובי הלוואות ולוחות סילוקין</t>
  </si>
  <si>
    <r>
      <rPr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בהלוואה היא 0.4%. </t>
    </r>
    <r>
      <rPr>
        <b/>
        <sz val="12"/>
        <color theme="1"/>
        <rFont val="David"/>
        <family val="2"/>
        <charset val="177"/>
      </rPr>
      <t xml:space="preserve">נדרש: הציגו את לוח הסילוקין. </t>
    </r>
  </si>
  <si>
    <t>מספר התשלומים הכולל = זהה למס׳ החודשים ב-10 שנים</t>
  </si>
  <si>
    <r>
      <t xml:space="preserve">פתרון ב - חישוב ההחזר על חשבון </t>
    </r>
    <r>
      <rPr>
        <b/>
        <u/>
        <sz val="12"/>
        <color theme="1"/>
        <rFont val="David"/>
        <family val="2"/>
        <charset val="177"/>
      </rPr>
      <t>הקרן</t>
    </r>
    <r>
      <rPr>
        <b/>
        <sz val="12"/>
        <color theme="1"/>
        <rFont val="David"/>
        <family val="2"/>
        <charset val="177"/>
      </rPr>
      <t xml:space="preserve"> - PRN, בתשלום ה-28? פונקציית </t>
    </r>
    <r>
      <rPr>
        <b/>
        <sz val="12"/>
        <color rgb="FFFF0000"/>
        <rFont val="David"/>
        <family val="2"/>
        <charset val="177"/>
      </rPr>
      <t>PPMT</t>
    </r>
    <r>
      <rPr>
        <b/>
        <sz val="12"/>
        <color theme="1"/>
        <rFont val="David"/>
        <family val="2"/>
        <charset val="177"/>
      </rPr>
      <t>:</t>
    </r>
  </si>
  <si>
    <r>
      <t xml:space="preserve">מסקנה: התשלום על חשבון </t>
    </r>
    <r>
      <rPr>
        <u/>
        <sz val="12"/>
        <color theme="1"/>
        <rFont val="David"/>
        <family val="2"/>
        <charset val="177"/>
      </rPr>
      <t>הקרן</t>
    </r>
    <r>
      <rPr>
        <sz val="12"/>
        <color theme="1"/>
        <rFont val="David"/>
        <family val="2"/>
        <charset val="177"/>
      </rPr>
      <t xml:space="preserve"> שנכלל במסגרת ההחזר ה-28 הוא 46.45 ש״ח.</t>
    </r>
  </si>
  <si>
    <r>
      <t xml:space="preserve">הנדרש - התשלום על חשבון </t>
    </r>
    <r>
      <rPr>
        <u/>
        <sz val="12"/>
        <color theme="1"/>
        <rFont val="David"/>
        <family val="2"/>
        <charset val="177"/>
      </rPr>
      <t>קרן</t>
    </r>
    <r>
      <rPr>
        <sz val="12"/>
        <color theme="1"/>
        <rFont val="David"/>
        <family val="2"/>
        <charset val="177"/>
      </rPr>
      <t xml:space="preserve"> בהחזר ה-28 PPMT = Principal Payment</t>
    </r>
  </si>
  <si>
    <r>
      <t xml:space="preserve">פתרון ג - חישוב תשלום </t>
    </r>
    <r>
      <rPr>
        <b/>
        <u/>
        <sz val="12"/>
        <color theme="1"/>
        <rFont val="David"/>
        <family val="2"/>
        <charset val="177"/>
      </rPr>
      <t>הריבית</t>
    </r>
    <r>
      <rPr>
        <b/>
        <sz val="12"/>
        <color theme="1"/>
        <rFont val="David"/>
        <family val="2"/>
        <charset val="177"/>
      </rPr>
      <t xml:space="preserve">, הנכלל במסגרת התשלום ה-94? פונקציית </t>
    </r>
    <r>
      <rPr>
        <b/>
        <sz val="12"/>
        <color rgb="FFFF0000"/>
        <rFont val="David"/>
        <family val="2"/>
        <charset val="177"/>
      </rPr>
      <t>IPMT</t>
    </r>
    <r>
      <rPr>
        <b/>
        <sz val="12"/>
        <color theme="1"/>
        <rFont val="David"/>
        <family val="2"/>
        <charset val="177"/>
      </rPr>
      <t>:</t>
    </r>
  </si>
  <si>
    <t>הנדרש - תשלום הריבית המגולם בהחזר ספציפי שפיצרי</t>
  </si>
  <si>
    <r>
      <t xml:space="preserve">חישוב </t>
    </r>
    <r>
      <rPr>
        <b/>
        <sz val="12"/>
        <color theme="1"/>
        <rFont val="David"/>
        <family val="2"/>
        <charset val="177"/>
      </rPr>
      <t>יתרת הלוואה</t>
    </r>
    <r>
      <rPr>
        <sz val="12"/>
        <color theme="1"/>
        <rFont val="David"/>
        <family val="2"/>
        <charset val="177"/>
      </rPr>
      <t xml:space="preserve"> (יתרת קרן, BAL) הוא </t>
    </r>
    <r>
      <rPr>
        <u/>
        <sz val="12"/>
        <color theme="1"/>
        <rFont val="David"/>
        <family val="2"/>
        <charset val="177"/>
      </rPr>
      <t>הערך הנוכחי</t>
    </r>
    <r>
      <rPr>
        <sz val="12"/>
        <color theme="1"/>
        <rFont val="David"/>
        <family val="2"/>
        <charset val="177"/>
      </rPr>
      <t xml:space="preserve"> PV של </t>
    </r>
    <r>
      <rPr>
        <u/>
        <sz val="12"/>
        <color theme="1"/>
        <rFont val="David"/>
        <family val="2"/>
        <charset val="177"/>
      </rPr>
      <t>התשלומים שנותרו</t>
    </r>
    <r>
      <rPr>
        <sz val="12"/>
        <color theme="1"/>
        <rFont val="David"/>
        <family val="2"/>
        <charset val="177"/>
      </rPr>
      <t xml:space="preserve"> (שטרם בוצעו). </t>
    </r>
  </si>
  <si>
    <t xml:space="preserve">יתרת ההלוואה לכל מועד היא ה-PV של התשלומים שנותרו. </t>
  </si>
  <si>
    <t>ה-PMT שיוזן לטובת החישוב - הוא זה שכבר חולץ לפי נתוני ההלוואה המקוריים.</t>
  </si>
  <si>
    <t>הריבית התקופתית בהלוואה</t>
  </si>
  <si>
    <t>מספר התשלומים שנותרו (שטרם בוצעו)</t>
  </si>
  <si>
    <t>ה-PMT שחולץ מנתוני ההלוואה המקוריים לעיל</t>
  </si>
  <si>
    <t>הנדרש - יתרת ההלוואה בתור PV של התשלומים שטרם בוצעו</t>
  </si>
  <si>
    <t>חלקי מס׳ תשלומים</t>
  </si>
  <si>
    <t>LOAN/n</t>
  </si>
  <si>
    <t>LOAN-PRN</t>
  </si>
  <si>
    <t>LOAN-2PRN</t>
  </si>
  <si>
    <t>LOAN-3PRN</t>
  </si>
  <si>
    <t>LOAN-4PRN</t>
  </si>
  <si>
    <t>יתרה קודמת</t>
  </si>
  <si>
    <t>בניכוי תשלום קרן</t>
  </si>
  <si>
    <t>כפול ריבית</t>
  </si>
  <si>
    <t>BAL(פתיחה)*r</t>
  </si>
  <si>
    <t xml:space="preserve">סה״כ </t>
  </si>
  <si>
    <t>INT + PRN</t>
  </si>
  <si>
    <t>תמצית הנתונים ויישום: הלוואה 189 ש״ח, לשנה אחת, תשלומים חודשיים, ריבית נקובה שנתית 8%, משולמת חודשית.</t>
  </si>
  <si>
    <t>כדי לדעת במה לחלק נשאל: כמה תקופות</t>
  </si>
  <si>
    <t>חישוב (חודש) נכנסות בתקופה הנקובה (שנה)</t>
  </si>
  <si>
    <t xml:space="preserve">והתשובה 12. </t>
  </si>
  <si>
    <t>לטובת החזקה: כמה תקופות חישוב (חודש)</t>
  </si>
  <si>
    <t xml:space="preserve">נכנסות בתקופה הנדרשת (חודש) והתשובה 1. </t>
  </si>
  <si>
    <t>בחלק מפתרונות ש״ב מופיע במקרים דומים 12 / 8%</t>
  </si>
  <si>
    <t>זה לא סותר את החישוב לעיל אלא מציג דרך קיצור</t>
  </si>
  <si>
    <t>כאשר תקופת החישוב והתקופה הנדרשת זהות.</t>
  </si>
  <si>
    <t>שאלה 4.0.8 - לוח סילוקין רגיל - התאמות ריבית במקרה שונה</t>
  </si>
  <si>
    <t>פינקולדה נטלה הלוואה מבנק נועה בסכום של 5,000 ש״ח הנפרעת בתשלומי קרן חודשיים שווים במשך 3 שנים.</t>
  </si>
  <si>
    <t xml:space="preserve">הריבית השנתית האפקטיבית בהלוואה היא 12.6825%. </t>
  </si>
  <si>
    <t xml:space="preserve">נדרש: הציגו את לוח הסילוקין ל-5 התשלומים הראשונים בהלוואה. </t>
  </si>
  <si>
    <t>י״פ</t>
  </si>
  <si>
    <t>י״ס</t>
  </si>
  <si>
    <t>תשלומי קרן שווים:</t>
  </si>
  <si>
    <t>תשלומים שווים:</t>
  </si>
  <si>
    <t>לוח רגיל - PRN קבוע</t>
  </si>
  <si>
    <t>לוח שפיצר - PMT קבוע</t>
  </si>
  <si>
    <t>אני כאן:</t>
  </si>
  <si>
    <t>לידיעה:</t>
  </si>
  <si>
    <t>תשלום הקרן:</t>
  </si>
  <si>
    <t xml:space="preserve">היחס בין </t>
  </si>
  <si>
    <t>הכולל למספר</t>
  </si>
  <si>
    <t>התשלומים</t>
  </si>
  <si>
    <t xml:space="preserve">הכולל </t>
  </si>
  <si>
    <t xml:space="preserve">5,000 / 36 </t>
  </si>
  <si>
    <t>הריבית הנתונה שנתית אפקטיבית</t>
  </si>
  <si>
    <t>יש להמירה לחודשית אפקטיבית (תקופת תשלום היא חודש)</t>
  </si>
  <si>
    <t>הרצאה 8 - 28.5.2024 - חישובי הלוואות - המשך, טריקים והתחלת הצמדות</t>
  </si>
  <si>
    <t xml:space="preserve">הלוואה הנפרעת בתשלומים שווים = שפיצר. </t>
  </si>
  <si>
    <t xml:space="preserve">קומבינה מעוניינץ ליטול הלוואה בסך 100,000 ש״ח הנפרעת ב-10 תשלומי קרן שנתיים שווים. הריבית השנתית היא 7%. </t>
  </si>
  <si>
    <t>מס׳ תשלומים כולל</t>
  </si>
  <si>
    <t>המועד עליו שואלים</t>
  </si>
  <si>
    <t>כי רוצים לתקופה קודמת</t>
  </si>
  <si>
    <r>
      <t>PMT(9) = 210,202/55*(55-4+1)</t>
    </r>
    <r>
      <rPr>
        <sz val="11"/>
        <color rgb="FFFF0000"/>
        <rFont val="David"/>
        <family val="2"/>
        <charset val="177"/>
      </rPr>
      <t>*1%</t>
    </r>
    <r>
      <rPr>
        <sz val="11"/>
        <color theme="1"/>
        <rFont val="David"/>
        <family val="2"/>
        <charset val="177"/>
      </rPr>
      <t xml:space="preserve"> + </t>
    </r>
    <r>
      <rPr>
        <b/>
        <sz val="11"/>
        <color rgb="FF00B050"/>
        <rFont val="David"/>
        <family val="2"/>
        <charset val="177"/>
      </rPr>
      <t>210,202/55</t>
    </r>
    <r>
      <rPr>
        <sz val="11"/>
        <color theme="1"/>
        <rFont val="David"/>
        <family val="2"/>
        <charset val="177"/>
      </rPr>
      <t xml:space="preserve"> = </t>
    </r>
  </si>
  <si>
    <t>כאן: בזמן 7</t>
  </si>
  <si>
    <t>BAL6 * r = INT7</t>
  </si>
  <si>
    <t>באמצעות PV על תקופת הדחייה</t>
  </si>
  <si>
    <t xml:space="preserve">שאלה 6 - חילוצים מהלוואות עם גרייס - הדגמה נוספת									</t>
  </si>
  <si>
    <t xml:space="preserve">מספר התשלומים הכולל בהלוואה: 32. </t>
  </si>
  <si>
    <t xml:space="preserve">הריבית השנתית האפקטיבית 12%, ותשלום הריבית שיבוצע במסגרת ההחזר הראשון הוא בסך 8,000 ש״ח. </t>
  </si>
  <si>
    <t>נדרש: מהו סכום ההלוואה המקורי אותו נטלה פוקינדה?</t>
  </si>
  <si>
    <t xml:space="preserve">פוקינדה נטלה הלוואה שתפרע בתשלומים רבעוניים שווים, כאשר התשלום הראשון יבוצע בחלוף שנה וחצי. </t>
  </si>
  <si>
    <t xml:space="preserve">זיהוי השאלה: לוח שפיצר עם גרייס (תשלומים שווים, תשלום ראשון מאוחר בעתיד). </t>
  </si>
  <si>
    <t xml:space="preserve">היישום הנדרש - חילוץ סכום ההלוואה, שהוא בעצם PV לזמן 0. </t>
  </si>
  <si>
    <t>נחשב תחילה ריבית אפקטיבית רבעונית, כיאה לפרק הזמן בין תשלומים - לרבעון.</t>
  </si>
  <si>
    <t>הואיל ובשונה מדוגמאות קודמות הריבית אפקטיבית ולא נקובה, ההמרה תתבצע עם מעריך חזקה מתאים ולא עם חלוקה פשוטה.</t>
  </si>
  <si>
    <t xml:space="preserve">התשלום הראשון בעוד שנה וחצי, כלומר במונחי רבעונים התשלום הוא בזמן 6. </t>
  </si>
  <si>
    <t>נתייחס לסכום זה כאל FV שיתואם 5 תקופות נוספות לאחור באמצעות PV וזה יהיה סכום ההלוואה המקורי בזמן 0:</t>
  </si>
  <si>
    <t xml:space="preserve">מסקנה: סכום ההלוואה המקורי הוא 241,613 ש״ח. </t>
  </si>
  <si>
    <t>הרצאה 9 - 4.6.2025 - הצמדות ואינפלציה</t>
  </si>
  <si>
    <t>שאלה 1 - חישוב האינפלציה - כאשר נתונה על פי מדד ולא בערך אחוזי</t>
  </si>
  <si>
    <t xml:space="preserve">(1+20%) = </t>
  </si>
  <si>
    <t xml:space="preserve">(1-8.33%) = </t>
  </si>
  <si>
    <t xml:space="preserve">(1+20%)*(1-8.33%)*(1+10%)*(1+0%) - 1 = </t>
  </si>
  <si>
    <t>שאלה 2 - הצמדה למדד - חישוב פיננסי</t>
  </si>
  <si>
    <t>קרן</t>
  </si>
  <si>
    <t>בתוספת ריבית (לפני הצמדה)</t>
  </si>
  <si>
    <t>היחס בין המדד העדכני, במועד החישוב (סוף השנה) - 105.7 נתון</t>
  </si>
  <si>
    <t>לבין המדד המקורי במועד העמדת ההלוואה - 103.1</t>
  </si>
  <si>
    <t>האינפלציה היא היחס בין המדד העדכני</t>
  </si>
  <si>
    <t>לתום השנה כאן 105.7</t>
  </si>
  <si>
    <t>כל זה פחות 1</t>
  </si>
  <si>
    <t>לבין מדד הבסיס במועד נטילת ההלואה 103.1</t>
  </si>
  <si>
    <t>ב. חישוב סכום להחזר לפני הצמדה = ריאלי:</t>
  </si>
  <si>
    <t>הסכום הריאלי הוא: ״כמה הייתי מחזיר</t>
  </si>
  <si>
    <t>אם לא היתה אינפלציה״</t>
  </si>
  <si>
    <t>ובעצם במצב כזה ההחזר הוא הקרן + ריבית בלבד</t>
  </si>
  <si>
    <t>ההחזר הכולל: סכום ריאלי כפול 1 ועוד אינפלציה</t>
  </si>
  <si>
    <t>הריבית שהבנק מוכן לשלם במסלול הצמוד:</t>
  </si>
  <si>
    <t>הריבית שהבנק מוכן לשלם במסלול הלא-צמוד:</t>
  </si>
  <si>
    <t>הנחת ברירת מחדל: הצעות הבנק שקולות</t>
  </si>
  <si>
    <t>מבחינתו, כלומר מגלמות ריביות זהות.</t>
  </si>
  <si>
    <t>כאשר גורם מסוים (למשל, בנק) מציע 2 הצעות</t>
  </si>
  <si>
    <t>אלטרנטיביות, ברירת המחדל היא: הריבית</t>
  </si>
  <si>
    <t>הריאלית והנומינלית בהצעות השונות זהה.</t>
  </si>
  <si>
    <t xml:space="preserve">ככלל: לא באמת ניתן לנצח את הבנק לאורך זמן - כי הוא בונה את החלופות באופן שייצר שקילות ביניהן. </t>
  </si>
  <si>
    <t xml:space="preserve">יחד עם זאת - אם אני מומחה ריביות, ואני חושב שאני יודע יותר טוב מהבנק - </t>
  </si>
  <si>
    <t xml:space="preserve">אם אני מאמין שהאינפלציה בפועל (כי כאן זה רק צפי) תהיה גבוהה יותר מ-3.92% - אעדיף מסלול צמוד המעניק לי גם את עליית המדד. </t>
  </si>
  <si>
    <t xml:space="preserve">אם אני מאמין שהאינפלציה בפועל תהיה נמוכה יותר - אעדיף מסלול לא צמוד, שמבטיח 6% נומינלי בכל מקרה. </t>
  </si>
  <si>
    <t>שאלה 5 - לוחות סילוקין והצמדה - Shpizer</t>
  </si>
  <si>
    <t>סכום חודשי כולל לתשלום (PMT ריאליתוס, לפני הצמדה):</t>
  </si>
  <si>
    <t xml:space="preserve">שיעור האינפלציה בחודש הראשון שנתון בשאלה. </t>
  </si>
  <si>
    <r>
      <rPr>
        <b/>
        <sz val="11"/>
        <color theme="1"/>
        <rFont val="David"/>
        <family val="2"/>
        <charset val="177"/>
      </rPr>
      <t>פתרון סעיף ב</t>
    </r>
    <r>
      <rPr>
        <sz val="11"/>
        <color theme="1"/>
        <rFont val="David"/>
        <family val="2"/>
        <charset val="177"/>
      </rPr>
      <t xml:space="preserve"> - שאלו מה התשלום ה-5 הכולל (PMT בזמן 5), אחרי הצמדה, בהנחה שהמדד עלה ממועד נטילת ההלוואה מ-110 ל-114.4 (נתון):</t>
    </r>
  </si>
  <si>
    <t xml:space="preserve">3,597.89 * (114.4/110) = </t>
  </si>
  <si>
    <t>מדד עדכני בתום חודש 5</t>
  </si>
  <si>
    <t>במועד נטילת ההלוואה</t>
  </si>
  <si>
    <t>פחות 1 אם המטרה היא</t>
  </si>
  <si>
    <t>להגיע רק לשינוי (האינפלציה)</t>
  </si>
  <si>
    <t xml:space="preserve">בהלוואת שפיצר שיש בה 30 תשלומים, הנושאת ריבית תקופתית של 0.5%, וצמודה למדד - </t>
  </si>
  <si>
    <r>
      <t xml:space="preserve">מהי </t>
    </r>
    <r>
      <rPr>
        <b/>
        <sz val="11"/>
        <color theme="1"/>
        <rFont val="David"/>
        <family val="2"/>
        <charset val="177"/>
      </rPr>
      <t>יתרת החוב</t>
    </r>
    <r>
      <rPr>
        <sz val="11"/>
        <color theme="1"/>
        <rFont val="David"/>
        <family val="2"/>
        <charset val="177"/>
      </rPr>
      <t xml:space="preserve"> (כולל הצמדה) לאחר התשלום ה-5, אם ידוע שהמדד העדכני במועד זה הוא 114.4, </t>
    </r>
  </si>
  <si>
    <t>ככלל: חישוב יתרה בעסקה צמודה &gt;&gt;&gt; נחשב יתרה לפני הצמדה &gt;&gt;&gt; נכפול ביחס המדדים (או באחת ועוד אינפלציה באחוזים)</t>
  </si>
  <si>
    <t>למרות שבסעיפים קודמים פתרנו חלק, נעבוד כאן מאפס שיהיה לכם קל לעקוב:</t>
  </si>
  <si>
    <t>חילוץ PMT
לפני הצמדה</t>
  </si>
  <si>
    <t>חישוב יתרה
לזמן 5
לפני הצמדה</t>
  </si>
  <si>
    <t xml:space="preserve"> * 114.4/110 = </t>
  </si>
  <si>
    <t>מכפלה ביחס
המדדים</t>
  </si>
  <si>
    <t>תשובה
סופית</t>
  </si>
  <si>
    <t xml:space="preserve">והמדד ההיסטורי (במועד נטילת ההלוואה) היה 110. סכום ההלוואה 100,000. </t>
  </si>
  <si>
    <t>סיכום תהליכי העבודה שהוצגו בכל התרגילים בינתיים, לחובבי הז׳אנר:</t>
  </si>
  <si>
    <t xml:space="preserve">א. אם ידועים ערכי המדד באופן רציף על פני זמן - היחס בין כל שני מדדים עוקבים פחות אחת, זו האינפלציה לתקופה. </t>
  </si>
  <si>
    <t>שאלה מקבילה לעיל</t>
  </si>
  <si>
    <t>ב. אם רוצים את המדד הכולל לאחר כל התקופות הרציפות - אפשר:</t>
  </si>
  <si>
    <t>ב.1. לחשב כל אינפלציה לתקופה (כמו ב-א), פלוס אחת, ואז לכפול בין הערכים ולנכות 1 בסוף; או</t>
  </si>
  <si>
    <t>ב.2. פשוט לכפול את היחס בין המדד הסופי (לסוף כל התקופות) חלקי המדד ההתחלתי, כל זה פחות 1</t>
  </si>
  <si>
    <t>ג. בעסקה צמודה - חישוב סכום כולל לתשלום / לקבל אחרי הצמדה, הוא לפי:</t>
  </si>
  <si>
    <t>ב.1 הסכום הבסיסי כפול אחת ועוד אינפלציה באחוזים לכל התקופה; או</t>
  </si>
  <si>
    <t>ב.2 הסכום הבסיסי (לפני הצמדה) כפול היחס בין המדד הסופי חלקי המדד ההתחלתי</t>
  </si>
  <si>
    <t>ד. כאשר גורם ספציפי מציע מסלול צמוד או לא צמוד לבחירת הלקוח: יש להניח ריבית נומינלית וריאלית זהות במסלולים</t>
  </si>
  <si>
    <t>ה. כאשר גורם ספציפי מציע מסלול צמוד או לא צמוד: ניתן לחלץ את ציפיות האינפלציה על בסיס השוואה של הערכים</t>
  </si>
  <si>
    <t>ו.1. על ידי מכפלה ביחס בין המדדים (מדד עדכני למועד החישוב חלקי מדד בנטילת ההלוואה); או</t>
  </si>
  <si>
    <t>ו.2. על ידי מכפלה ב-1 ועוד שיעור האינפלציה</t>
  </si>
  <si>
    <t xml:space="preserve">ו. כאשר עוסקים בלוח שפיצר ורוצים תשלום ספציפי צמוד, ככל שניתן נתחיל מחילוץ ה-PMT, אם צריך נצמיד אותו: </t>
  </si>
  <si>
    <t>ז. כאשר עוסקים בלוח שפיצר ורוצים לדעת מה היתרה אחרי הצמדה, נחשב PMT, נחלץ PV לתשלומים שנותרו</t>
  </si>
  <si>
    <t>לפני הצמדה, ואז - נכפול ביחס בין המדדים או ב-1 ועוד שיעור האינפלציה כדי להגיע לתוצאה סופית</t>
  </si>
  <si>
    <t>ב. נניח כי בסך הכל עד לתום החודש ה-5 עלה המדד מ-110 נקודות ל-114.4 נק׳. מהו התשלום החודשי בפועל בתום החודש ה-5</t>
  </si>
  <si>
    <r>
      <t xml:space="preserve">של חברות נקראת לעתים קרובות ״מחיר ההון״. </t>
    </r>
    <r>
      <rPr>
        <b/>
        <sz val="11"/>
        <color theme="1"/>
        <rFont val="David"/>
        <family val="2"/>
        <charset val="177"/>
      </rPr>
      <t>המטרה העקרונית היא לשקף את המשמעות של שווי תזרימי פרויקט נטו בהינתן הריבית</t>
    </r>
  </si>
  <si>
    <t>כשאנחנו דנים בפרויקטים - נקבל רשימה מוגדרת של תזרימי מזומנים - חיוביים ושליליים - וריבית: ועל בסיס נתונים אלו (תזרימים, עיתויים, ריבית)</t>
  </si>
  <si>
    <t>לגבש קריטריונים שיעזרו להעריך: האם הפרויקט כדאי / לא &gt;&gt; NPV ו- IRR</t>
  </si>
  <si>
    <r>
      <t xml:space="preserve">תפיסת השווי - </t>
    </r>
    <r>
      <rPr>
        <b/>
        <sz val="11"/>
        <color theme="1"/>
        <rFont val="David"/>
        <family val="2"/>
        <charset val="177"/>
      </rPr>
      <t xml:space="preserve">הערך הנוכחי הנקי - ענ״נ או </t>
    </r>
    <r>
      <rPr>
        <b/>
        <sz val="11"/>
        <color rgb="FFEE0000"/>
        <rFont val="David"/>
        <family val="2"/>
        <charset val="177"/>
      </rPr>
      <t>NPV</t>
    </r>
    <r>
      <rPr>
        <b/>
        <sz val="11"/>
        <color theme="1"/>
        <rFont val="David"/>
        <family val="2"/>
        <charset val="177"/>
      </rPr>
      <t xml:space="preserve"> = Net Present Value</t>
    </r>
    <r>
      <rPr>
        <sz val="11"/>
        <color theme="1"/>
        <rFont val="David"/>
        <family val="2"/>
        <charset val="177"/>
      </rPr>
      <t>. על בסיס תפיסה זו, יש לחשב ערך נוכחי</t>
    </r>
  </si>
  <si>
    <r>
      <t xml:space="preserve">חיובי, הפרויקט כדאי. המשמעות העקרונית היא שנוצר </t>
    </r>
    <r>
      <rPr>
        <b/>
        <sz val="11"/>
        <color rgb="FFEE0000"/>
        <rFont val="David"/>
        <family val="2"/>
        <charset val="177"/>
      </rPr>
      <t>שווי כספי חיובי</t>
    </r>
    <r>
      <rPr>
        <sz val="11"/>
        <color theme="1"/>
        <rFont val="David"/>
        <family val="2"/>
        <charset val="177"/>
      </rPr>
      <t xml:space="preserve"> הנובע מכך שהתשואה על הפרויקט גבוהה</t>
    </r>
  </si>
  <si>
    <r>
      <t xml:space="preserve">תפיסת שיעור התשואה - </t>
    </r>
    <r>
      <rPr>
        <b/>
        <sz val="11"/>
        <color rgb="FFEE0000"/>
        <rFont val="David"/>
        <family val="2"/>
        <charset val="177"/>
      </rPr>
      <t>שיעור התשואה הפנימי - שת״פ או IRR - Internal Rate of Return</t>
    </r>
    <r>
      <rPr>
        <sz val="11"/>
        <color theme="1"/>
        <rFont val="David"/>
        <family val="2"/>
        <charset val="177"/>
      </rPr>
      <t>. על בסיס תפיסה</t>
    </r>
  </si>
  <si>
    <t>C41</t>
  </si>
  <si>
    <t>מחיר ההון / ריבית להיוון - rate</t>
  </si>
  <si>
    <t>C37:C39</t>
  </si>
  <si>
    <r>
      <t xml:space="preserve">טווח תזרימי המזומנים </t>
    </r>
    <r>
      <rPr>
        <b/>
        <u/>
        <sz val="11"/>
        <color theme="1"/>
        <rFont val="David"/>
        <family val="2"/>
        <charset val="177"/>
      </rPr>
      <t>העתידיים</t>
    </r>
    <r>
      <rPr>
        <sz val="11"/>
        <color theme="1"/>
        <rFont val="David"/>
        <family val="2"/>
        <charset val="177"/>
      </rPr>
      <t xml:space="preserve"> (ללא זמן 0)</t>
    </r>
  </si>
  <si>
    <t>C36</t>
  </si>
  <si>
    <t>תזרים המזומנים בזמן אפס מתווסף בנפרד (מחוץ לפונקציה)</t>
  </si>
  <si>
    <t>א. מהו השת״פ (IRR) של הפרויקט? מהי שיעור התשואה התקופתי מהפרויקט (באחוזים)?</t>
  </si>
  <si>
    <t xml:space="preserve">הערך המתקבל מציג את התשואה השנתית המשוקללת באחוזים על ההשקעה בפרויקט (בהתעלם בהתעלם משיעור הריבית). </t>
  </si>
  <si>
    <t>כדאיות לפי IRR תתקיים כאשר IRR&gt;שיעור הריבית.</t>
  </si>
  <si>
    <t>כל זה נכון כשדנים בפרויקט בודד</t>
  </si>
  <si>
    <t>או כשאין מגבלה לגבי מספר הפרויקטים לביצוע</t>
  </si>
  <si>
    <t>שאלה 4 - פרויקטים המוציאים זה את זה - בחירה בין פרויקטים / דירוגם</t>
  </si>
  <si>
    <t>כך שלמעשה, NPV התחיל גבוה יותר, אבל הוא יורד מהר יותר (שיפוע שלילי יותר). לכן, בריבית גבוהה מ-9.7%, ה-NPV של A יהיה נמוך יותר.</t>
  </si>
  <si>
    <t>כדי להמחיש ביתר שאת, נציג גרפית:</t>
  </si>
  <si>
    <t>מחיר ההון</t>
  </si>
  <si>
    <t>פרויקט B האדום</t>
  </si>
  <si>
    <t>יועדף בטווח</t>
  </si>
  <si>
    <t>שבו מחיר ההון 9.7% (חיתוך בין הפרויקטים, כי ה-NPV זהה בנקודה זו)</t>
  </si>
  <si>
    <t xml:space="preserve">לבין מחיר הון 60.74% (ולא יותר, כי מעל זה - שניהם שליליים). </t>
  </si>
  <si>
    <t>אז בקצרה:</t>
  </si>
  <si>
    <t xml:space="preserve">דירוג בין פרויקטים - נבצע לפי NPV - במחיר ההון הספציפי הנתון (אם יש כזה). </t>
  </si>
  <si>
    <t xml:space="preserve">אם המטרה היא לדרג עבור טווח שלם של מחירי הון - </t>
  </si>
  <si>
    <t>עלינו לגלות ״היכן הפרויקטים נחתכים״ מה שיעזור לגלות באיזה טווח</t>
  </si>
  <si>
    <t xml:space="preserve">הפרויקט האחד מעל השני. </t>
  </si>
  <si>
    <t>בשאלה ספציפית זו, נקודת החיתוך לא אותרה ישירות על ידינו, אלא חושבה.</t>
  </si>
  <si>
    <t xml:space="preserve">נטפל בהמשך גם בזה. </t>
  </si>
  <si>
    <t>נדרש א</t>
  </si>
  <si>
    <t>נדרש ב</t>
  </si>
  <si>
    <t>נדרש ג:</t>
  </si>
  <si>
    <t>להמשיך מכאן במפגש 11 - 18.6.2025 (משוער אולי יהיה שינוי)</t>
  </si>
  <si>
    <t>הרצאות 10 + 11 - 11.6.2025 ; 18.6.2025- קריטריונים לבחינת כדאיות השקעות</t>
  </si>
  <si>
    <t xml:space="preserve">לפניכם נתוני תזרימי המזומנים של פרויקט מסוים, המסומן כ״פרויקט A״. </t>
  </si>
  <si>
    <t xml:space="preserve">נדרש: הציגו את עקום ה-NPV של הפרויקט - אשר מציג את הקשר בין מחיר ההון (rate - עלות גיוס ההון / התשואה שדורשים המשקיעים) לשווי הפרויקט (NPV). </t>
  </si>
  <si>
    <t>ככלל, קיים קשר שלילי בין rate (מחיר ההון, תשואה נדרשת ע״י משקיעים) לבין שווי הפרויקט (NPV): ככל שעלות גיוס ההון עולה/ככל שהתשואה האלטרנטיבית עולה (rate), שווי הפרויקט יורד (NPV).</t>
  </si>
  <si>
    <t>עקום ה - NPV של השקעות תמיד יורד משמאל</t>
  </si>
  <si>
    <t xml:space="preserve">האופקי (rate) היא תמיד ה - IRR. </t>
  </si>
  <si>
    <r>
      <rPr>
        <b/>
        <sz val="11"/>
        <color rgb="FFFF0000"/>
        <rFont val="David"/>
        <family val="2"/>
        <charset val="177"/>
      </rPr>
      <t>הערך המירבי של הענ״נ</t>
    </r>
    <r>
      <rPr>
        <sz val="11"/>
        <color theme="1"/>
        <rFont val="David"/>
        <family val="2"/>
        <charset val="177"/>
      </rPr>
      <t xml:space="preserve"> (כשrate=0)- שגרפית</t>
    </r>
  </si>
  <si>
    <r>
      <t xml:space="preserve">האנכי הוא </t>
    </r>
    <r>
      <rPr>
        <b/>
        <sz val="11"/>
        <color rgb="FFEE0000"/>
        <rFont val="David"/>
        <family val="2"/>
        <charset val="177"/>
      </rPr>
      <t>הסיכום הפשוט של תזרימי</t>
    </r>
  </si>
  <si>
    <t xml:space="preserve">מעבר ליכולת להציג טכנית את התרשים (שהרי הבחינה אמריקאית, ולכן הצגתו עקרונית לא מתחייבת - פתרו כיצד שתרצו), </t>
  </si>
  <si>
    <t xml:space="preserve">היא עוזרת לי להבין אינטואיטיבית את הקשר (ההגיוני) בין NPV ו- IRR. </t>
  </si>
  <si>
    <t>כאשר מחיר ההון של החברה rate נמוך יותר (משמאל) ל-IRR, כלומר משמאל לנקודת חיתוך עקום ה-NPV עם הציר האופקי,</t>
  </si>
  <si>
    <t>הפרויקט כדאי. מה ההיגיון? אם דורשים ממני תשואה של 10% על הפרויקט, למשל (rate=10%) והוא נמוך יותר</t>
  </si>
  <si>
    <t xml:space="preserve">מהתשואה שהפרויקט מניב שהיא ה-IRR (כאן: 36.31%) ברור שהפרויקט כדאי, ולהפך. </t>
  </si>
  <si>
    <t xml:space="preserve">אם אני צריך לבחור באיזה פרויקט (ספציפי, אחד) שבו עליי להשקיע מבין כמה, זה פשוט יחסית.  </t>
  </si>
  <si>
    <t>הולכים לפי NPV - (שווי הפרויקט נטו במונחי ערך נוכחי PV) ובוחר בפרויקט שבו ה- NPV הוא הגבוה מבין כולם (אלא אם דורשים במפורש קריטריון אחר, לצד מגבלותיו).</t>
  </si>
  <si>
    <t xml:space="preserve">השאלה היא כיצד פועלים כשיש אפשרות לשלב בין פרויקטים ולהשקיע בחלקי פרויקטים (למצות את תקציב ההשקעות העומד לרשותי דרך הקצאתו לפרויקטים השונים, </t>
  </si>
  <si>
    <t xml:space="preserve">תוך אפשרות ביצוע חלקי לפרויקטים. </t>
  </si>
  <si>
    <t>שאלה 7 - פרויקטים המוציאים זה את זה (מגבלת תקציב) - כולל התייחסות למדד הרווחיות PI כקריטריון עזר נוסף מעבר ל-NPV</t>
  </si>
  <si>
    <t xml:space="preserve">לפניכם נתוני 5 פרויקטים. עלות ההון )(התשואה הנדרשת על ידי המשקיעים - rate) היא 10% וקיימת מגבלת תקציב של 500,000 ש״ח. </t>
  </si>
  <si>
    <t xml:space="preserve">נדרש - מהו הרכב ההשקעות האופטימלי (כיצד נקצה את ה-500,000 בין הפרויקטים כדי למקסם NPV) - הניחו שניתן להשקיע בחלקי פרויקטים? </t>
  </si>
  <si>
    <t>נתונים פרויקטים / תזרימי המזומנים מהם בצורה מפורשת;</t>
  </si>
  <si>
    <t xml:space="preserve">נתון שמחיר ההון rate = 10%. </t>
  </si>
  <si>
    <t xml:space="preserve">נחשב בתור התחלה את הבסיס לתהליך - NPV של כל פרויקט בנפרד. </t>
  </si>
  <si>
    <t xml:space="preserve">המטרה כאן איננה לבחור בפרויקט בודד שבו ה-NPV מקסימלי; אלא לשלב ביניהם כדי שסך ה-NPV יהיה מקסימלי. </t>
  </si>
  <si>
    <t>NPV
שוויו
הכספי
של הפרויקט
נטו</t>
  </si>
  <si>
    <t>אני רוצה בשאלות כאלו למקסס ולמקסם:</t>
  </si>
  <si>
    <t>למקסס - מלשון מיקס - אני רוצה שילוב של פרויקטים כדי להגיע לתוצאה</t>
  </si>
  <si>
    <t>למקסם - כך שה-NPV המצרפי של המיקס יהיה הגבוה ביותר</t>
  </si>
  <si>
    <t>במונה - NPV: שווי הפרויקט בערך נוכחי, נטו</t>
  </si>
  <si>
    <t>סכום ההשקעה הראשונית, בערכו המוחלט</t>
  </si>
  <si>
    <t>מדד הרווחיות: הפרופורציה בין השווי להשקעה</t>
  </si>
  <si>
    <t xml:space="preserve">ברגע שמדד הרווחיות חושב, הנטייה תהיה להקצות השקעה לפרויקטים לפי PI בסדר יורד, מהגבוה לנמוך.
מדוע? כי מדד הרווחיות בעצם מספר לנו כמה ערך כלכלי, שווי, NPV נוצר על כל 1 ש״ח השקעה בפרויקט. 
כמובן, שכדי לנצל את תקציב ההשקעה בצורה הטובה ביותר - נרצה להקצות כמה שיותר ש״ח להשקעות
עם PI גבוה ככל הניתן.
הערה: לא נשקיע בפרויקטים עם PI שלילי (לא רלוונטי פה, אבל לידיעה). </t>
  </si>
  <si>
    <t>תקציב ראשוני לפני הקצאות</t>
  </si>
  <si>
    <t>תרומה לענ״נ
NPV</t>
  </si>
  <si>
    <t>ה-200: יתרת התקציב שנותרה להשקעה בפרויקט C לאחר ההקצאות לפרויקטים הקודמים</t>
  </si>
  <si>
    <t xml:space="preserve">   סך ההשקעה הנדרשת בפרויקט C</t>
  </si>
  <si>
    <t>שוויו המלא של פרויקט C</t>
  </si>
  <si>
    <t>פרויקט שאין לי כסף</t>
  </si>
  <si>
    <t>לבצעו באופן מלא</t>
  </si>
  <si>
    <t>יעניק לי ערך</t>
  </si>
  <si>
    <t>לפי הסכום שכן אוכל להשקיע בו</t>
  </si>
  <si>
    <t xml:space="preserve">וכל זה כפול שוויו (NPV שלו). </t>
  </si>
  <si>
    <t>חלקי סכום ההשקעה הנדרש בו</t>
  </si>
  <si>
    <t>בסך הכל, השווי המצרפי המירבי אליו ניתן להגיע - סיכום:</t>
  </si>
  <si>
    <t>כלומר: מבצעים באופן מלא את הפרויקטים D,A,B; וכן 2/3 מפרויקט C</t>
  </si>
  <si>
    <t xml:space="preserve">באופן כזה מגיעים ל-NPV כולל של 257.44 אלפי ש״ח, שהוא המירבי שניתן להגיע אליו בנסיבות אלו. </t>
  </si>
  <si>
    <t>הסבר ישן (אני משאיר, תכל׳ס לא צריך):</t>
  </si>
  <si>
    <t>שאלה 13 - הצגה גרפית של שני פרויקטים, ובחירה ביניהם על בסיס האיור / התרשים</t>
  </si>
  <si>
    <t>מבוא: ככלל, כאשר נדרש לבחור בפרויקט אחד בלבד מבין כמה - כלל ה-NPV הוא המלך שלנו!</t>
  </si>
  <si>
    <t xml:space="preserve">מיקסום NPV משמעו מיקסום ערך החברה לבעלי המניות, ותכל׳ס - זוהי מטרת הפירמה. </t>
  </si>
  <si>
    <t>נשאלת השאלה - איך אוכל לזהות איזה NPV גבוה יותר, אם מחיר ההון לא נתון? למשל, האם אוכל לקבוע שבמחיר הון של מעל 10% עדיף א, או עדיף ב?</t>
  </si>
  <si>
    <t xml:space="preserve">הדרך ההבנתית המלאה ביותר עוברת דרך איור תרשימי הפרויקטים - ושימוש בגישה שנקראת ״פרויקט הפרשי״. </t>
  </si>
  <si>
    <t>לפניכם שני פרויקטים אפשריים להשקעה - החברה יכולה לבחור לבצע לכל היותר אחד מביניהם:</t>
  </si>
  <si>
    <t xml:space="preserve">הציגו את עקום הענ״נ של הפרויקטים (קל) ואת החיתוך ביניהם (WTF). </t>
  </si>
  <si>
    <t>תזרים בזמן 0 - סכום השקעה:</t>
  </si>
  <si>
    <t>סכום השקעה הוא גם: הערך המינימלי של NPV, שלא ניתן לרדת מתחת אליו</t>
  </si>
  <si>
    <t>ה-IRR - חיתוך עם ציר rate:</t>
  </si>
  <si>
    <t>סיכום של תזרימים: חיתוך עם ציר NPV</t>
  </si>
  <si>
    <t>ה-IRR של תזרימי ההפרש:</t>
  </si>
  <si>
    <t xml:space="preserve">הוא נקודת החיתוך בין הפרויקטים. </t>
  </si>
  <si>
    <t>הגדול - הקטן - קו מקווקו</t>
  </si>
  <si>
    <t>בקצרה: נחשב את הפרשי התזרימים, נבצע עליו IRR, זו נקודת החיתוך בין הפרויקטים ועל בסיסה נוכל לשפוט - מי מבין הפרויקטים עדיף</t>
  </si>
  <si>
    <t>בכל צד של הטווח</t>
  </si>
  <si>
    <t>הערה: לא בוצעו בלונים לאור הרגישות למצב. אבל למי שזה הפריע לו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</si>
</sst>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7">
    <numFmt numFmtId="8" formatCode="&quot;₪&quot;#,##0.00_);[Red]\(&quot;₪&quot;#,##0.00\)"/>
    <numFmt numFmtId="43" formatCode="_(* #,##0.00_);_(* \(#,##0.00\);_(* &quot;-&quot;??_);_(@_)"/>
    <numFmt numFmtId="164" formatCode="&quot;$&quot;#,##0.00_);[Red]\(&quot;$&quot;#,##0.00\)"/>
    <numFmt numFmtId="165" formatCode="&quot;₪&quot;\ #,##0.00;[Red]&quot;₪&quot;\ \-#,##0.00"/>
    <numFmt numFmtId="166" formatCode="_-* #,##0.00_-;\-* #,##0.00_-;_-* &quot;-&quot;??_-;_-@_-"/>
    <numFmt numFmtId="167" formatCode="0.0"/>
    <numFmt numFmtId="168" formatCode="_-* #,##0_-;\-* #,##0_-;_-* &quot;-&quot;??_-;_-@_-"/>
    <numFmt numFmtId="169" formatCode="0.0%"/>
    <numFmt numFmtId="170" formatCode="#,##0.00_ ;[Red]\-#,##0.00\ "/>
    <numFmt numFmtId="171" formatCode="_ &quot;₪&quot;\ * #,##0.00_ ;_ &quot;₪&quot;\ * \-#,##0.00_ ;_ &quot;₪&quot;\ * &quot;-&quot;??_ ;_ @_ "/>
    <numFmt numFmtId="172" formatCode="0.000%"/>
    <numFmt numFmtId="173" formatCode="0.0000%"/>
    <numFmt numFmtId="174" formatCode="0.00000%"/>
    <numFmt numFmtId="175" formatCode="&quot;₪&quot;#,##0.00;[Red]\-&quot;₪&quot;#,##0.00"/>
    <numFmt numFmtId="176" formatCode="#,##0.000"/>
    <numFmt numFmtId="177" formatCode="0.000"/>
    <numFmt numFmtId="178" formatCode="0.000000%"/>
  </numFmts>
  <fonts count="7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6"/>
      <name val="David"/>
      <family val="2"/>
      <charset val="177"/>
    </font>
    <font>
      <sz val="16"/>
      <name val="David"/>
      <family val="2"/>
      <charset val="177"/>
    </font>
    <font>
      <b/>
      <u/>
      <sz val="16"/>
      <name val="David"/>
      <family val="2"/>
      <charset val="177"/>
    </font>
    <font>
      <u/>
      <sz val="16"/>
      <name val="David"/>
      <family val="2"/>
      <charset val="177"/>
    </font>
    <font>
      <sz val="11"/>
      <name val="David"/>
      <family val="2"/>
      <charset val="177"/>
    </font>
    <font>
      <sz val="11"/>
      <color theme="1"/>
      <name val="Calibri"/>
      <family val="2"/>
      <charset val="177"/>
      <scheme val="minor"/>
    </font>
    <font>
      <sz val="11"/>
      <color theme="1"/>
      <name val="David"/>
      <family val="2"/>
      <charset val="177"/>
    </font>
    <font>
      <b/>
      <sz val="11"/>
      <color theme="1"/>
      <name val="David"/>
      <family val="2"/>
      <charset val="177"/>
    </font>
    <font>
      <sz val="11"/>
      <color rgb="FFFF0000"/>
      <name val="David"/>
      <family val="2"/>
      <charset val="177"/>
    </font>
    <font>
      <sz val="11"/>
      <color rgb="FF0070C0"/>
      <name val="David"/>
      <family val="2"/>
      <charset val="177"/>
    </font>
    <font>
      <u/>
      <sz val="11"/>
      <color theme="1"/>
      <name val="David"/>
      <family val="2"/>
      <charset val="177"/>
    </font>
    <font>
      <b/>
      <sz val="11"/>
      <color rgb="FFFF0000"/>
      <name val="David"/>
      <family val="2"/>
      <charset val="177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0"/>
      <color theme="1"/>
      <name val="David"/>
      <family val="2"/>
      <charset val="177"/>
    </font>
    <font>
      <sz val="12"/>
      <color rgb="FFFF0000"/>
      <name val="David"/>
      <family val="2"/>
      <charset val="177"/>
    </font>
    <font>
      <sz val="12"/>
      <color rgb="FF0070C0"/>
      <name val="David"/>
      <family val="2"/>
      <charset val="177"/>
    </font>
    <font>
      <sz val="12"/>
      <color rgb="FF00B050"/>
      <name val="David"/>
      <family val="2"/>
      <charset val="177"/>
    </font>
    <font>
      <sz val="11"/>
      <color rgb="FF00B050"/>
      <name val="David"/>
      <family val="2"/>
      <charset val="177"/>
    </font>
    <font>
      <b/>
      <sz val="14"/>
      <color theme="1"/>
      <name val="David"/>
      <family val="2"/>
      <charset val="177"/>
    </font>
    <font>
      <b/>
      <sz val="12"/>
      <color rgb="FF0070C0"/>
      <name val="David"/>
      <family val="2"/>
      <charset val="177"/>
    </font>
    <font>
      <sz val="12"/>
      <color theme="0"/>
      <name val="David"/>
      <family val="2"/>
      <charset val="177"/>
    </font>
    <font>
      <sz val="11"/>
      <color theme="0"/>
      <name val="David"/>
      <family val="2"/>
      <charset val="177"/>
    </font>
    <font>
      <b/>
      <sz val="11"/>
      <color rgb="FF0070C0"/>
      <name val="David"/>
      <family val="2"/>
      <charset val="177"/>
    </font>
    <font>
      <b/>
      <sz val="11"/>
      <color rgb="FF000000"/>
      <name val="David"/>
      <family val="2"/>
      <charset val="177"/>
    </font>
    <font>
      <b/>
      <u/>
      <sz val="11"/>
      <color theme="1"/>
      <name val="David"/>
      <family val="2"/>
      <charset val="177"/>
    </font>
    <font>
      <sz val="11"/>
      <color theme="1"/>
      <name val="Cambria Math"/>
      <family val="1"/>
    </font>
    <font>
      <sz val="11"/>
      <color theme="4" tint="-0.249977111117893"/>
      <name val="David"/>
      <family val="2"/>
      <charset val="177"/>
    </font>
    <font>
      <sz val="11"/>
      <color rgb="FF7030A0"/>
      <name val="David"/>
      <family val="2"/>
      <charset val="177"/>
    </font>
    <font>
      <sz val="11"/>
      <color theme="5" tint="-0.249977111117893"/>
      <name val="David"/>
      <family val="2"/>
      <charset val="177"/>
    </font>
    <font>
      <sz val="12"/>
      <name val="David"/>
      <family val="2"/>
      <charset val="177"/>
    </font>
    <font>
      <b/>
      <sz val="12"/>
      <color theme="0"/>
      <name val="David"/>
      <family val="2"/>
      <charset val="177"/>
    </font>
    <font>
      <b/>
      <sz val="16"/>
      <color theme="1"/>
      <name val="David"/>
      <family val="2"/>
      <charset val="177"/>
    </font>
    <font>
      <b/>
      <sz val="11"/>
      <name val="David"/>
      <family val="2"/>
      <charset val="177"/>
    </font>
    <font>
      <b/>
      <u/>
      <sz val="12"/>
      <color theme="1"/>
      <name val="David"/>
      <family val="2"/>
      <charset val="177"/>
    </font>
    <font>
      <b/>
      <sz val="12"/>
      <name val="David"/>
      <family val="2"/>
      <charset val="177"/>
    </font>
    <font>
      <sz val="9"/>
      <color theme="1"/>
      <name val="David"/>
      <family val="2"/>
      <charset val="177"/>
    </font>
    <font>
      <sz val="10"/>
      <color rgb="FF000000"/>
      <name val="Arial"/>
      <family val="2"/>
    </font>
    <font>
      <b/>
      <sz val="11"/>
      <color rgb="FF7030A0"/>
      <name val="David"/>
      <family val="2"/>
      <charset val="177"/>
    </font>
    <font>
      <sz val="8"/>
      <name val="Calibri"/>
      <family val="2"/>
      <scheme val="minor"/>
    </font>
    <font>
      <b/>
      <sz val="16"/>
      <color rgb="FFFF0000"/>
      <name val="David"/>
      <family val="2"/>
      <charset val="177"/>
    </font>
    <font>
      <b/>
      <sz val="18"/>
      <name val="David"/>
      <family val="2"/>
      <charset val="177"/>
    </font>
    <font>
      <sz val="8"/>
      <color theme="1"/>
      <name val="David"/>
      <family val="2"/>
      <charset val="177"/>
    </font>
    <font>
      <sz val="12"/>
      <color theme="9" tint="0.39997558519241921"/>
      <name val="David"/>
      <family val="2"/>
      <charset val="177"/>
    </font>
    <font>
      <sz val="12"/>
      <color theme="2" tint="-9.9978637043366805E-2"/>
      <name val="David"/>
      <family val="2"/>
      <charset val="177"/>
    </font>
    <font>
      <u/>
      <sz val="12"/>
      <color theme="1"/>
      <name val="David"/>
      <family val="2"/>
      <charset val="177"/>
    </font>
    <font>
      <b/>
      <sz val="12"/>
      <color rgb="FF00B0F0"/>
      <name val="David"/>
      <family val="2"/>
      <charset val="177"/>
    </font>
    <font>
      <sz val="12"/>
      <color theme="5"/>
      <name val="David"/>
      <family val="2"/>
      <charset val="177"/>
    </font>
    <font>
      <b/>
      <sz val="12"/>
      <color rgb="FF7030A0"/>
      <name val="David"/>
      <family val="2"/>
      <charset val="177"/>
    </font>
    <font>
      <u/>
      <sz val="11"/>
      <color rgb="FF0070C0"/>
      <name val="David"/>
      <family val="2"/>
      <charset val="177"/>
    </font>
    <font>
      <sz val="12"/>
      <color rgb="FFFF7E79"/>
      <name val="David"/>
      <family val="2"/>
      <charset val="177"/>
    </font>
    <font>
      <sz val="11"/>
      <color rgb="FF00B0F0"/>
      <name val="David"/>
      <family val="2"/>
      <charset val="177"/>
    </font>
    <font>
      <b/>
      <sz val="11"/>
      <color rgb="FF00B050"/>
      <name val="David"/>
      <family val="2"/>
      <charset val="177"/>
    </font>
    <font>
      <b/>
      <sz val="10"/>
      <name val="David"/>
      <family val="2"/>
      <charset val="177"/>
    </font>
    <font>
      <sz val="16"/>
      <color theme="1"/>
      <name val="David"/>
      <family val="2"/>
      <charset val="177"/>
    </font>
    <font>
      <b/>
      <u/>
      <sz val="16"/>
      <color rgb="FFFF0000"/>
      <name val="David"/>
      <family val="2"/>
      <charset val="177"/>
    </font>
    <font>
      <b/>
      <sz val="18"/>
      <color theme="1"/>
      <name val="David"/>
      <family val="2"/>
      <charset val="177"/>
    </font>
    <font>
      <sz val="9"/>
      <color theme="0"/>
      <name val="David"/>
      <family val="2"/>
      <charset val="177"/>
    </font>
    <font>
      <b/>
      <sz val="12"/>
      <color theme="2" tint="-0.249977111117893"/>
      <name val="David"/>
      <family val="2"/>
      <charset val="177"/>
    </font>
    <font>
      <b/>
      <sz val="11"/>
      <color theme="0"/>
      <name val="David"/>
      <family val="2"/>
      <charset val="177"/>
    </font>
    <font>
      <b/>
      <u/>
      <sz val="11"/>
      <name val="David"/>
      <family val="2"/>
      <charset val="177"/>
    </font>
    <font>
      <strike/>
      <sz val="11"/>
      <color theme="1"/>
      <name val="David"/>
      <family val="2"/>
      <charset val="177"/>
    </font>
    <font>
      <b/>
      <sz val="20"/>
      <name val="David"/>
      <family val="2"/>
      <charset val="177"/>
    </font>
    <font>
      <sz val="9"/>
      <name val="David"/>
      <family val="2"/>
      <charset val="177"/>
    </font>
    <font>
      <b/>
      <sz val="11"/>
      <color rgb="FFEE0000"/>
      <name val="David"/>
      <family val="2"/>
      <charset val="177"/>
    </font>
    <font>
      <sz val="11"/>
      <color rgb="FFEE0000"/>
      <name val="David"/>
      <family val="2"/>
      <charset val="177"/>
    </font>
    <font>
      <sz val="11"/>
      <color theme="2" tint="-9.9978637043366805E-2"/>
      <name val="David"/>
      <family val="2"/>
      <charset val="177"/>
    </font>
    <font>
      <b/>
      <sz val="11"/>
      <color theme="2" tint="-9.9978637043366805E-2"/>
      <name val="David"/>
      <family val="2"/>
      <charset val="177"/>
    </font>
  </fonts>
  <fills count="32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D9D9D9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04FF4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7E79"/>
        <bgColor indexed="64"/>
      </patternFill>
    </fill>
    <fill>
      <patternFill patternType="solid">
        <fgColor theme="2" tint="-9.9978637043366805E-2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8">
    <xf numFmtId="0" fontId="0" fillId="0" borderId="0"/>
    <xf numFmtId="166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7" fillId="0" borderId="0"/>
    <xf numFmtId="171" fontId="7" fillId="0" borderId="0" applyFont="0" applyFill="0" applyBorder="0" applyAlignment="0" applyProtection="0"/>
    <xf numFmtId="9" fontId="7" fillId="0" borderId="0" applyFont="0" applyFill="0" applyBorder="0" applyAlignment="0" applyProtection="0"/>
    <xf numFmtId="0" fontId="40" fillId="0" borderId="0"/>
    <xf numFmtId="9" fontId="40" fillId="0" borderId="0" applyFont="0" applyFill="0" applyBorder="0" applyAlignment="0" applyProtection="0"/>
  </cellStyleXfs>
  <cellXfs count="772">
    <xf numFmtId="0" fontId="0" fillId="0" borderId="0" xfId="0"/>
    <xf numFmtId="0" fontId="3" fillId="0" borderId="0" xfId="0" applyFont="1"/>
    <xf numFmtId="0" fontId="3" fillId="3" borderId="0" xfId="0" applyFont="1" applyFill="1"/>
    <xf numFmtId="0" fontId="4" fillId="0" borderId="0" xfId="0" applyFont="1"/>
    <xf numFmtId="0" fontId="3" fillId="0" borderId="0" xfId="0" applyFont="1" applyAlignment="1">
      <alignment horizontal="center"/>
    </xf>
    <xf numFmtId="9" fontId="3" fillId="0" borderId="0" xfId="0" applyNumberFormat="1" applyFont="1"/>
    <xf numFmtId="170" fontId="3" fillId="2" borderId="7" xfId="0" applyNumberFormat="1" applyFont="1" applyFill="1" applyBorder="1"/>
    <xf numFmtId="0" fontId="3" fillId="0" borderId="0" xfId="0" applyFont="1" applyAlignment="1">
      <alignment horizontal="right"/>
    </xf>
    <xf numFmtId="170" fontId="3" fillId="2" borderId="3" xfId="0" applyNumberFormat="1" applyFont="1" applyFill="1" applyBorder="1"/>
    <xf numFmtId="170" fontId="3" fillId="0" borderId="0" xfId="0" applyNumberFormat="1" applyFont="1"/>
    <xf numFmtId="0" fontId="5" fillId="0" borderId="0" xfId="0" applyFont="1" applyAlignment="1">
      <alignment horizontal="center"/>
    </xf>
    <xf numFmtId="10" fontId="3" fillId="0" borderId="0" xfId="0" applyNumberFormat="1" applyFont="1"/>
    <xf numFmtId="3" fontId="3" fillId="0" borderId="0" xfId="0" applyNumberFormat="1" applyFont="1"/>
    <xf numFmtId="0" fontId="4" fillId="0" borderId="0" xfId="0" applyFont="1" applyAlignment="1">
      <alignment horizontal="center"/>
    </xf>
    <xf numFmtId="9" fontId="3" fillId="0" borderId="0" xfId="0" applyNumberFormat="1" applyFont="1" applyAlignment="1">
      <alignment horizontal="center"/>
    </xf>
    <xf numFmtId="169" fontId="3" fillId="0" borderId="0" xfId="0" applyNumberFormat="1" applyFont="1" applyAlignment="1">
      <alignment horizontal="center"/>
    </xf>
    <xf numFmtId="168" fontId="2" fillId="0" borderId="0" xfId="1" applyNumberFormat="1" applyFont="1" applyFill="1" applyBorder="1"/>
    <xf numFmtId="4" fontId="3" fillId="2" borderId="3" xfId="0" applyNumberFormat="1" applyFont="1" applyFill="1" applyBorder="1"/>
    <xf numFmtId="164" fontId="3" fillId="0" borderId="0" xfId="0" applyNumberFormat="1" applyFont="1"/>
    <xf numFmtId="0" fontId="2" fillId="0" borderId="0" xfId="0" applyFont="1"/>
    <xf numFmtId="9" fontId="2" fillId="0" borderId="0" xfId="0" applyNumberFormat="1" applyFont="1"/>
    <xf numFmtId="0" fontId="3" fillId="0" borderId="1" xfId="0" applyFont="1" applyBorder="1"/>
    <xf numFmtId="10" fontId="3" fillId="0" borderId="1" xfId="0" applyNumberFormat="1" applyFont="1" applyBorder="1"/>
    <xf numFmtId="0" fontId="4" fillId="0" borderId="1" xfId="0" applyFont="1" applyBorder="1"/>
    <xf numFmtId="3" fontId="3" fillId="0" borderId="1" xfId="0" applyNumberFormat="1" applyFont="1" applyBorder="1"/>
    <xf numFmtId="0" fontId="2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0" fontId="3" fillId="0" borderId="6" xfId="0" applyFont="1" applyBorder="1" applyAlignment="1">
      <alignment horizontal="center"/>
    </xf>
    <xf numFmtId="0" fontId="3" fillId="0" borderId="6" xfId="0" applyFont="1" applyBorder="1"/>
    <xf numFmtId="0" fontId="6" fillId="0" borderId="0" xfId="0" applyFont="1" applyAlignment="1">
      <alignment horizontal="center"/>
    </xf>
    <xf numFmtId="0" fontId="6" fillId="3" borderId="0" xfId="0" applyFont="1" applyFill="1" applyAlignment="1">
      <alignment horizontal="center"/>
    </xf>
    <xf numFmtId="0" fontId="3" fillId="3" borderId="0" xfId="0" applyFont="1" applyFill="1" applyAlignment="1">
      <alignment horizontal="center"/>
    </xf>
    <xf numFmtId="4" fontId="3" fillId="0" borderId="0" xfId="0" applyNumberFormat="1" applyFont="1"/>
    <xf numFmtId="4" fontId="3" fillId="4" borderId="0" xfId="0" applyNumberFormat="1" applyFont="1" applyFill="1"/>
    <xf numFmtId="167" fontId="3" fillId="0" borderId="0" xfId="0" applyNumberFormat="1" applyFont="1" applyAlignment="1">
      <alignment horizontal="right"/>
    </xf>
    <xf numFmtId="0" fontId="3" fillId="3" borderId="1" xfId="0" applyFont="1" applyFill="1" applyBorder="1"/>
    <xf numFmtId="0" fontId="3" fillId="3" borderId="2" xfId="0" applyFont="1" applyFill="1" applyBorder="1"/>
    <xf numFmtId="0" fontId="3" fillId="0" borderId="2" xfId="0" applyFont="1" applyBorder="1"/>
    <xf numFmtId="165" fontId="2" fillId="2" borderId="3" xfId="0" applyNumberFormat="1" applyFont="1" applyFill="1" applyBorder="1"/>
    <xf numFmtId="0" fontId="5" fillId="0" borderId="0" xfId="0" applyFont="1"/>
    <xf numFmtId="169" fontId="3" fillId="0" borderId="0" xfId="0" applyNumberFormat="1" applyFont="1"/>
    <xf numFmtId="0" fontId="2" fillId="0" borderId="0" xfId="0" applyFont="1" applyAlignment="1">
      <alignment horizontal="center" vertical="center"/>
    </xf>
    <xf numFmtId="9" fontId="2" fillId="2" borderId="3" xfId="2" applyFont="1" applyFill="1" applyBorder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8" fillId="3" borderId="0" xfId="0" applyFont="1" applyFill="1"/>
    <xf numFmtId="0" fontId="8" fillId="0" borderId="0" xfId="0" applyFont="1" applyAlignment="1">
      <alignment horizontal="center"/>
    </xf>
    <xf numFmtId="3" fontId="8" fillId="0" borderId="0" xfId="0" applyNumberFormat="1" applyFont="1" applyAlignment="1">
      <alignment horizontal="center"/>
    </xf>
    <xf numFmtId="0" fontId="8" fillId="0" borderId="11" xfId="0" applyFont="1" applyBorder="1" applyAlignment="1">
      <alignment horizontal="center"/>
    </xf>
    <xf numFmtId="3" fontId="10" fillId="0" borderId="0" xfId="0" applyNumberFormat="1" applyFont="1" applyAlignment="1">
      <alignment horizontal="center"/>
    </xf>
    <xf numFmtId="3" fontId="11" fillId="0" borderId="0" xfId="0" applyNumberFormat="1" applyFont="1" applyAlignment="1">
      <alignment horizontal="center"/>
    </xf>
    <xf numFmtId="0" fontId="9" fillId="5" borderId="0" xfId="0" applyFont="1" applyFill="1"/>
    <xf numFmtId="0" fontId="8" fillId="5" borderId="0" xfId="0" applyFont="1" applyFill="1"/>
    <xf numFmtId="9" fontId="8" fillId="0" borderId="0" xfId="0" applyNumberFormat="1" applyFont="1" applyAlignment="1">
      <alignment horizontal="center"/>
    </xf>
    <xf numFmtId="8" fontId="8" fillId="0" borderId="0" xfId="0" applyNumberFormat="1" applyFont="1"/>
    <xf numFmtId="8" fontId="8" fillId="6" borderId="0" xfId="0" applyNumberFormat="1" applyFont="1" applyFill="1" applyAlignment="1">
      <alignment horizontal="center"/>
    </xf>
    <xf numFmtId="8" fontId="8" fillId="0" borderId="0" xfId="0" applyNumberFormat="1" applyFont="1" applyAlignment="1">
      <alignment horizontal="center"/>
    </xf>
    <xf numFmtId="8" fontId="8" fillId="0" borderId="0" xfId="0" applyNumberFormat="1" applyFont="1" applyAlignment="1">
      <alignment horizontal="right"/>
    </xf>
    <xf numFmtId="0" fontId="8" fillId="0" borderId="11" xfId="0" applyFont="1" applyBorder="1"/>
    <xf numFmtId="3" fontId="8" fillId="0" borderId="11" xfId="0" applyNumberFormat="1" applyFont="1" applyBorder="1" applyAlignment="1">
      <alignment horizontal="center"/>
    </xf>
    <xf numFmtId="4" fontId="10" fillId="3" borderId="0" xfId="0" applyNumberFormat="1" applyFont="1" applyFill="1" applyAlignment="1">
      <alignment horizontal="center"/>
    </xf>
    <xf numFmtId="4" fontId="10" fillId="3" borderId="11" xfId="0" applyNumberFormat="1" applyFont="1" applyFill="1" applyBorder="1" applyAlignment="1">
      <alignment horizontal="center"/>
    </xf>
    <xf numFmtId="8" fontId="9" fillId="7" borderId="0" xfId="0" applyNumberFormat="1" applyFont="1" applyFill="1"/>
    <xf numFmtId="169" fontId="8" fillId="0" borderId="0" xfId="0" applyNumberFormat="1" applyFont="1" applyAlignment="1">
      <alignment horizontal="center"/>
    </xf>
    <xf numFmtId="8" fontId="8" fillId="8" borderId="0" xfId="0" applyNumberFormat="1" applyFont="1" applyFill="1" applyAlignment="1">
      <alignment horizontal="center"/>
    </xf>
    <xf numFmtId="0" fontId="8" fillId="0" borderId="8" xfId="0" applyFont="1" applyBorder="1"/>
    <xf numFmtId="0" fontId="8" fillId="0" borderId="9" xfId="0" applyFont="1" applyBorder="1"/>
    <xf numFmtId="8" fontId="8" fillId="8" borderId="9" xfId="0" applyNumberFormat="1" applyFont="1" applyFill="1" applyBorder="1" applyAlignment="1">
      <alignment horizontal="center"/>
    </xf>
    <xf numFmtId="0" fontId="8" fillId="0" borderId="10" xfId="0" applyFont="1" applyBorder="1" applyAlignment="1">
      <alignment horizontal="center"/>
    </xf>
    <xf numFmtId="9" fontId="8" fillId="8" borderId="0" xfId="0" applyNumberFormat="1" applyFont="1" applyFill="1" applyAlignment="1">
      <alignment horizontal="center"/>
    </xf>
    <xf numFmtId="0" fontId="8" fillId="9" borderId="0" xfId="0" applyFont="1" applyFill="1"/>
    <xf numFmtId="10" fontId="8" fillId="0" borderId="0" xfId="0" applyNumberFormat="1" applyFont="1" applyAlignment="1">
      <alignment horizontal="center"/>
    </xf>
    <xf numFmtId="8" fontId="8" fillId="10" borderId="0" xfId="0" applyNumberFormat="1" applyFont="1" applyFill="1" applyAlignment="1">
      <alignment horizontal="center"/>
    </xf>
    <xf numFmtId="3" fontId="8" fillId="0" borderId="0" xfId="0" applyNumberFormat="1" applyFont="1"/>
    <xf numFmtId="0" fontId="9" fillId="11" borderId="0" xfId="0" applyFont="1" applyFill="1"/>
    <xf numFmtId="1" fontId="8" fillId="0" borderId="0" xfId="0" applyNumberFormat="1" applyFont="1"/>
    <xf numFmtId="9" fontId="8" fillId="0" borderId="0" xfId="0" applyNumberFormat="1" applyFont="1"/>
    <xf numFmtId="1" fontId="8" fillId="3" borderId="0" xfId="0" applyNumberFormat="1" applyFont="1" applyFill="1" applyAlignment="1">
      <alignment horizontal="center"/>
    </xf>
    <xf numFmtId="0" fontId="13" fillId="0" borderId="0" xfId="0" applyFont="1"/>
    <xf numFmtId="0" fontId="8" fillId="0" borderId="3" xfId="0" applyFont="1" applyBorder="1" applyAlignment="1">
      <alignment horizontal="center"/>
    </xf>
    <xf numFmtId="0" fontId="8" fillId="12" borderId="3" xfId="0" applyFont="1" applyFill="1" applyBorder="1" applyAlignment="1">
      <alignment horizontal="center"/>
    </xf>
    <xf numFmtId="0" fontId="8" fillId="12" borderId="3" xfId="0" applyFont="1" applyFill="1" applyBorder="1"/>
    <xf numFmtId="169" fontId="8" fillId="3" borderId="0" xfId="0" applyNumberFormat="1" applyFont="1" applyFill="1" applyAlignment="1">
      <alignment horizontal="center"/>
    </xf>
    <xf numFmtId="1" fontId="8" fillId="9" borderId="0" xfId="0" applyNumberFormat="1" applyFont="1" applyFill="1" applyAlignment="1">
      <alignment horizontal="center"/>
    </xf>
    <xf numFmtId="168" fontId="8" fillId="0" borderId="0" xfId="1" applyNumberFormat="1" applyFont="1"/>
    <xf numFmtId="3" fontId="8" fillId="3" borderId="0" xfId="0" applyNumberFormat="1" applyFont="1" applyFill="1"/>
    <xf numFmtId="0" fontId="12" fillId="0" borderId="0" xfId="0" applyFont="1"/>
    <xf numFmtId="3" fontId="8" fillId="3" borderId="12" xfId="0" applyNumberFormat="1" applyFont="1" applyFill="1" applyBorder="1"/>
    <xf numFmtId="3" fontId="8" fillId="3" borderId="12" xfId="0" applyNumberFormat="1" applyFont="1" applyFill="1" applyBorder="1" applyAlignment="1">
      <alignment horizontal="center"/>
    </xf>
    <xf numFmtId="3" fontId="9" fillId="9" borderId="0" xfId="0" applyNumberFormat="1" applyFont="1" applyFill="1"/>
    <xf numFmtId="3" fontId="9" fillId="9" borderId="12" xfId="0" applyNumberFormat="1" applyFont="1" applyFill="1" applyBorder="1" applyAlignment="1">
      <alignment horizontal="center"/>
    </xf>
    <xf numFmtId="0" fontId="14" fillId="0" borderId="0" xfId="0" applyFont="1"/>
    <xf numFmtId="0" fontId="15" fillId="0" borderId="0" xfId="0" applyFont="1"/>
    <xf numFmtId="0" fontId="15" fillId="10" borderId="0" xfId="0" applyFont="1" applyFill="1"/>
    <xf numFmtId="0" fontId="15" fillId="0" borderId="13" xfId="0" applyFont="1" applyBorder="1"/>
    <xf numFmtId="0" fontId="14" fillId="0" borderId="14" xfId="0" applyFont="1" applyBorder="1"/>
    <xf numFmtId="0" fontId="14" fillId="0" borderId="15" xfId="0" applyFont="1" applyBorder="1"/>
    <xf numFmtId="0" fontId="14" fillId="0" borderId="6" xfId="0" applyFont="1" applyBorder="1"/>
    <xf numFmtId="0" fontId="14" fillId="0" borderId="16" xfId="0" applyFont="1" applyBorder="1"/>
    <xf numFmtId="0" fontId="14" fillId="0" borderId="17" xfId="0" applyFont="1" applyBorder="1"/>
    <xf numFmtId="0" fontId="14" fillId="0" borderId="18" xfId="0" applyFont="1" applyBorder="1"/>
    <xf numFmtId="0" fontId="14" fillId="0" borderId="19" xfId="0" applyFont="1" applyBorder="1"/>
    <xf numFmtId="0" fontId="14" fillId="0" borderId="13" xfId="0" applyFont="1" applyBorder="1"/>
    <xf numFmtId="9" fontId="14" fillId="0" borderId="0" xfId="0" applyNumberFormat="1" applyFont="1" applyAlignment="1">
      <alignment horizontal="center"/>
    </xf>
    <xf numFmtId="0" fontId="14" fillId="0" borderId="0" xfId="0" applyFont="1" applyAlignment="1">
      <alignment horizontal="center"/>
    </xf>
    <xf numFmtId="2" fontId="14" fillId="3" borderId="0" xfId="0" applyNumberFormat="1" applyFont="1" applyFill="1" applyAlignment="1">
      <alignment horizontal="center"/>
    </xf>
    <xf numFmtId="0" fontId="16" fillId="0" borderId="0" xfId="0" applyFont="1"/>
    <xf numFmtId="169" fontId="14" fillId="0" borderId="0" xfId="0" applyNumberFormat="1" applyFont="1" applyAlignment="1">
      <alignment horizontal="center"/>
    </xf>
    <xf numFmtId="3" fontId="14" fillId="0" borderId="0" xfId="0" applyNumberFormat="1" applyFont="1"/>
    <xf numFmtId="0" fontId="14" fillId="0" borderId="11" xfId="0" applyFont="1" applyBorder="1" applyAlignment="1">
      <alignment horizontal="center"/>
    </xf>
    <xf numFmtId="0" fontId="14" fillId="0" borderId="11" xfId="0" applyFont="1" applyBorder="1"/>
    <xf numFmtId="3" fontId="14" fillId="0" borderId="0" xfId="0" applyNumberFormat="1" applyFont="1" applyAlignment="1">
      <alignment horizontal="center"/>
    </xf>
    <xf numFmtId="3" fontId="14" fillId="3" borderId="0" xfId="0" applyNumberFormat="1" applyFont="1" applyFill="1" applyAlignment="1">
      <alignment horizontal="center"/>
    </xf>
    <xf numFmtId="1" fontId="14" fillId="3" borderId="0" xfId="0" applyNumberFormat="1" applyFont="1" applyFill="1" applyAlignment="1">
      <alignment horizontal="center"/>
    </xf>
    <xf numFmtId="0" fontId="14" fillId="9" borderId="0" xfId="0" applyFont="1" applyFill="1" applyAlignment="1">
      <alignment horizontal="center"/>
    </xf>
    <xf numFmtId="1" fontId="14" fillId="9" borderId="0" xfId="0" applyNumberFormat="1" applyFont="1" applyFill="1" applyAlignment="1">
      <alignment horizontal="center"/>
    </xf>
    <xf numFmtId="0" fontId="18" fillId="0" borderId="0" xfId="0" applyFont="1"/>
    <xf numFmtId="4" fontId="14" fillId="12" borderId="0" xfId="0" applyNumberFormat="1" applyFont="1" applyFill="1" applyAlignment="1">
      <alignment horizontal="center"/>
    </xf>
    <xf numFmtId="0" fontId="21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10" fontId="14" fillId="0" borderId="0" xfId="0" applyNumberFormat="1" applyFont="1" applyAlignment="1">
      <alignment horizontal="center"/>
    </xf>
    <xf numFmtId="1" fontId="22" fillId="8" borderId="0" xfId="0" applyNumberFormat="1" applyFont="1" applyFill="1" applyAlignment="1">
      <alignment horizontal="center"/>
    </xf>
    <xf numFmtId="0" fontId="15" fillId="0" borderId="8" xfId="0" applyFont="1" applyBorder="1"/>
    <xf numFmtId="0" fontId="14" fillId="0" borderId="9" xfId="0" applyFont="1" applyBorder="1"/>
    <xf numFmtId="0" fontId="14" fillId="0" borderId="10" xfId="0" applyFont="1" applyBorder="1"/>
    <xf numFmtId="1" fontId="14" fillId="8" borderId="0" xfId="0" applyNumberFormat="1" applyFont="1" applyFill="1" applyAlignment="1">
      <alignment horizontal="center"/>
    </xf>
    <xf numFmtId="0" fontId="14" fillId="8" borderId="0" xfId="0" applyFont="1" applyFill="1"/>
    <xf numFmtId="0" fontId="15" fillId="9" borderId="0" xfId="0" applyFont="1" applyFill="1"/>
    <xf numFmtId="0" fontId="15" fillId="8" borderId="0" xfId="0" applyFont="1" applyFill="1"/>
    <xf numFmtId="10" fontId="14" fillId="0" borderId="0" xfId="0" applyNumberFormat="1" applyFont="1"/>
    <xf numFmtId="9" fontId="14" fillId="0" borderId="0" xfId="0" applyNumberFormat="1" applyFont="1"/>
    <xf numFmtId="0" fontId="14" fillId="3" borderId="0" xfId="0" applyFont="1" applyFill="1"/>
    <xf numFmtId="172" fontId="14" fillId="0" borderId="0" xfId="2" applyNumberFormat="1" applyFont="1"/>
    <xf numFmtId="0" fontId="23" fillId="0" borderId="0" xfId="0" applyFont="1"/>
    <xf numFmtId="0" fontId="14" fillId="0" borderId="24" xfId="0" applyFont="1" applyBorder="1"/>
    <xf numFmtId="0" fontId="14" fillId="0" borderId="23" xfId="0" applyFont="1" applyBorder="1"/>
    <xf numFmtId="0" fontId="14" fillId="0" borderId="25" xfId="0" applyFont="1" applyBorder="1"/>
    <xf numFmtId="0" fontId="14" fillId="0" borderId="26" xfId="0" applyFont="1" applyBorder="1"/>
    <xf numFmtId="0" fontId="14" fillId="0" borderId="27" xfId="0" applyFont="1" applyBorder="1"/>
    <xf numFmtId="0" fontId="14" fillId="0" borderId="0" xfId="0" applyFont="1" applyAlignment="1">
      <alignment horizontal="right"/>
    </xf>
    <xf numFmtId="0" fontId="14" fillId="3" borderId="0" xfId="0" applyFont="1" applyFill="1" applyAlignment="1">
      <alignment horizontal="center"/>
    </xf>
    <xf numFmtId="0" fontId="15" fillId="9" borderId="0" xfId="0" applyFont="1" applyFill="1" applyAlignment="1">
      <alignment horizontal="center"/>
    </xf>
    <xf numFmtId="0" fontId="8" fillId="0" borderId="11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3" fontId="8" fillId="0" borderId="0" xfId="0" applyNumberFormat="1" applyFont="1" applyAlignment="1">
      <alignment horizontal="center" vertical="center"/>
    </xf>
    <xf numFmtId="0" fontId="8" fillId="13" borderId="0" xfId="0" applyFont="1" applyFill="1"/>
    <xf numFmtId="0" fontId="9" fillId="13" borderId="0" xfId="0" applyFont="1" applyFill="1"/>
    <xf numFmtId="0" fontId="8" fillId="0" borderId="0" xfId="0" quotePrefix="1" applyFont="1"/>
    <xf numFmtId="3" fontId="8" fillId="3" borderId="0" xfId="0" applyNumberFormat="1" applyFont="1" applyFill="1" applyAlignment="1">
      <alignment horizontal="center"/>
    </xf>
    <xf numFmtId="10" fontId="8" fillId="0" borderId="0" xfId="2" applyNumberFormat="1" applyFont="1"/>
    <xf numFmtId="10" fontId="8" fillId="0" borderId="0" xfId="2" applyNumberFormat="1" applyFont="1" applyAlignment="1">
      <alignment horizontal="center"/>
    </xf>
    <xf numFmtId="10" fontId="8" fillId="9" borderId="12" xfId="2" applyNumberFormat="1" applyFont="1" applyFill="1" applyBorder="1" applyAlignment="1">
      <alignment horizontal="center"/>
    </xf>
    <xf numFmtId="9" fontId="8" fillId="9" borderId="12" xfId="2" applyFont="1" applyFill="1" applyBorder="1" applyAlignment="1">
      <alignment horizontal="center"/>
    </xf>
    <xf numFmtId="173" fontId="8" fillId="3" borderId="0" xfId="0" applyNumberFormat="1" applyFont="1" applyFill="1" applyAlignment="1">
      <alignment horizontal="center"/>
    </xf>
    <xf numFmtId="172" fontId="8" fillId="0" borderId="0" xfId="2" applyNumberFormat="1" applyFont="1"/>
    <xf numFmtId="172" fontId="8" fillId="9" borderId="12" xfId="2" applyNumberFormat="1" applyFont="1" applyFill="1" applyBorder="1" applyAlignment="1">
      <alignment horizontal="center"/>
    </xf>
    <xf numFmtId="0" fontId="9" fillId="12" borderId="0" xfId="0" applyFont="1" applyFill="1"/>
    <xf numFmtId="10" fontId="8" fillId="5" borderId="12" xfId="2" applyNumberFormat="1" applyFont="1" applyFill="1" applyBorder="1" applyAlignment="1">
      <alignment horizontal="center"/>
    </xf>
    <xf numFmtId="9" fontId="8" fillId="5" borderId="12" xfId="0" applyNumberFormat="1" applyFont="1" applyFill="1" applyBorder="1" applyAlignment="1">
      <alignment horizontal="center"/>
    </xf>
    <xf numFmtId="10" fontId="8" fillId="0" borderId="0" xfId="0" applyNumberFormat="1" applyFont="1"/>
    <xf numFmtId="172" fontId="8" fillId="0" borderId="0" xfId="0" applyNumberFormat="1" applyFont="1"/>
    <xf numFmtId="3" fontId="10" fillId="0" borderId="28" xfId="0" applyNumberFormat="1" applyFont="1" applyBorder="1" applyAlignment="1">
      <alignment horizontal="center"/>
    </xf>
    <xf numFmtId="3" fontId="11" fillId="0" borderId="28" xfId="0" applyNumberFormat="1" applyFont="1" applyBorder="1" applyAlignment="1">
      <alignment horizontal="center"/>
    </xf>
    <xf numFmtId="10" fontId="9" fillId="13" borderId="0" xfId="0" applyNumberFormat="1" applyFont="1" applyFill="1"/>
    <xf numFmtId="0" fontId="15" fillId="12" borderId="0" xfId="0" applyFont="1" applyFill="1"/>
    <xf numFmtId="0" fontId="15" fillId="3" borderId="0" xfId="0" applyFont="1" applyFill="1"/>
    <xf numFmtId="0" fontId="14" fillId="0" borderId="3" xfId="0" applyFont="1" applyBorder="1"/>
    <xf numFmtId="0" fontId="15" fillId="0" borderId="3" xfId="0" applyFont="1" applyBorder="1"/>
    <xf numFmtId="0" fontId="14" fillId="15" borderId="3" xfId="0" applyFont="1" applyFill="1" applyBorder="1"/>
    <xf numFmtId="3" fontId="14" fillId="0" borderId="3" xfId="0" applyNumberFormat="1" applyFont="1" applyBorder="1" applyAlignment="1">
      <alignment horizontal="center"/>
    </xf>
    <xf numFmtId="0" fontId="15" fillId="0" borderId="0" xfId="0" applyFont="1" applyAlignment="1">
      <alignment horizontal="center"/>
    </xf>
    <xf numFmtId="4" fontId="14" fillId="0" borderId="3" xfId="0" applyNumberFormat="1" applyFont="1" applyBorder="1" applyAlignment="1">
      <alignment horizontal="center"/>
    </xf>
    <xf numFmtId="2" fontId="14" fillId="0" borderId="0" xfId="0" applyNumberFormat="1" applyFont="1"/>
    <xf numFmtId="4" fontId="14" fillId="0" borderId="0" xfId="0" applyNumberFormat="1" applyFont="1" applyAlignment="1">
      <alignment horizontal="center"/>
    </xf>
    <xf numFmtId="3" fontId="14" fillId="3" borderId="3" xfId="0" applyNumberFormat="1" applyFont="1" applyFill="1" applyBorder="1" applyAlignment="1">
      <alignment horizontal="center"/>
    </xf>
    <xf numFmtId="0" fontId="8" fillId="16" borderId="0" xfId="0" applyFont="1" applyFill="1"/>
    <xf numFmtId="0" fontId="9" fillId="9" borderId="0" xfId="0" applyFont="1" applyFill="1"/>
    <xf numFmtId="0" fontId="9" fillId="16" borderId="0" xfId="0" applyFont="1" applyFill="1"/>
    <xf numFmtId="0" fontId="9" fillId="17" borderId="0" xfId="0" applyFont="1" applyFill="1"/>
    <xf numFmtId="0" fontId="9" fillId="18" borderId="0" xfId="0" applyFont="1" applyFill="1"/>
    <xf numFmtId="0" fontId="27" fillId="19" borderId="0" xfId="0" applyFont="1" applyFill="1" applyAlignment="1">
      <alignment readingOrder="2"/>
    </xf>
    <xf numFmtId="0" fontId="27" fillId="19" borderId="0" xfId="0" applyFont="1" applyFill="1" applyAlignment="1">
      <alignment readingOrder="1"/>
    </xf>
    <xf numFmtId="0" fontId="14" fillId="0" borderId="3" xfId="0" applyFont="1" applyBorder="1" applyAlignment="1">
      <alignment horizontal="center"/>
    </xf>
    <xf numFmtId="0" fontId="28" fillId="0" borderId="0" xfId="0" applyFont="1"/>
    <xf numFmtId="3" fontId="8" fillId="0" borderId="3" xfId="0" applyNumberFormat="1" applyFont="1" applyBorder="1" applyAlignment="1">
      <alignment horizontal="center"/>
    </xf>
    <xf numFmtId="0" fontId="15" fillId="3" borderId="3" xfId="0" applyFont="1" applyFill="1" applyBorder="1" applyAlignment="1">
      <alignment horizontal="center"/>
    </xf>
    <xf numFmtId="0" fontId="15" fillId="3" borderId="3" xfId="0" applyFont="1" applyFill="1" applyBorder="1" applyAlignment="1">
      <alignment horizontal="center" wrapText="1"/>
    </xf>
    <xf numFmtId="3" fontId="14" fillId="16" borderId="3" xfId="0" applyNumberFormat="1" applyFont="1" applyFill="1" applyBorder="1" applyAlignment="1">
      <alignment horizontal="center"/>
    </xf>
    <xf numFmtId="3" fontId="16" fillId="0" borderId="3" xfId="0" applyNumberFormat="1" applyFont="1" applyBorder="1" applyAlignment="1">
      <alignment horizontal="center"/>
    </xf>
    <xf numFmtId="0" fontId="8" fillId="0" borderId="24" xfId="0" applyFont="1" applyBorder="1"/>
    <xf numFmtId="0" fontId="8" fillId="0" borderId="23" xfId="0" applyFont="1" applyBorder="1"/>
    <xf numFmtId="0" fontId="8" fillId="0" borderId="25" xfId="0" applyFont="1" applyBorder="1"/>
    <xf numFmtId="0" fontId="8" fillId="0" borderId="1" xfId="0" applyFont="1" applyBorder="1"/>
    <xf numFmtId="0" fontId="8" fillId="0" borderId="2" xfId="0" applyFont="1" applyBorder="1"/>
    <xf numFmtId="0" fontId="8" fillId="0" borderId="26" xfId="0" applyFont="1" applyBorder="1"/>
    <xf numFmtId="0" fontId="8" fillId="0" borderId="27" xfId="0" applyFont="1" applyBorder="1"/>
    <xf numFmtId="0" fontId="8" fillId="0" borderId="4" xfId="0" applyFont="1" applyBorder="1"/>
    <xf numFmtId="0" fontId="8" fillId="0" borderId="29" xfId="0" applyFont="1" applyBorder="1"/>
    <xf numFmtId="0" fontId="8" fillId="0" borderId="5" xfId="0" applyFont="1" applyBorder="1"/>
    <xf numFmtId="173" fontId="8" fillId="0" borderId="0" xfId="2" applyNumberFormat="1" applyFont="1"/>
    <xf numFmtId="0" fontId="29" fillId="0" borderId="0" xfId="0" applyFont="1" applyAlignment="1">
      <alignment horizontal="center"/>
    </xf>
    <xf numFmtId="9" fontId="8" fillId="0" borderId="0" xfId="2" applyFont="1" applyAlignment="1">
      <alignment horizontal="center"/>
    </xf>
    <xf numFmtId="0" fontId="8" fillId="15" borderId="0" xfId="0" applyFont="1" applyFill="1" applyAlignment="1">
      <alignment horizontal="center"/>
    </xf>
    <xf numFmtId="10" fontId="8" fillId="3" borderId="0" xfId="0" applyNumberFormat="1" applyFont="1" applyFill="1"/>
    <xf numFmtId="9" fontId="8" fillId="3" borderId="0" xfId="2" applyFont="1" applyFill="1"/>
    <xf numFmtId="0" fontId="9" fillId="0" borderId="8" xfId="0" applyFont="1" applyBorder="1"/>
    <xf numFmtId="0" fontId="8" fillId="0" borderId="10" xfId="0" applyFont="1" applyBorder="1"/>
    <xf numFmtId="166" fontId="9" fillId="3" borderId="12" xfId="1" applyFont="1" applyFill="1" applyBorder="1"/>
    <xf numFmtId="174" fontId="8" fillId="0" borderId="0" xfId="0" applyNumberFormat="1" applyFont="1"/>
    <xf numFmtId="0" fontId="9" fillId="0" borderId="13" xfId="0" applyFont="1" applyBorder="1"/>
    <xf numFmtId="0" fontId="8" fillId="0" borderId="14" xfId="0" applyFont="1" applyBorder="1"/>
    <xf numFmtId="0" fontId="8" fillId="0" borderId="15" xfId="0" applyFont="1" applyBorder="1"/>
    <xf numFmtId="0" fontId="9" fillId="0" borderId="6" xfId="0" applyFont="1" applyBorder="1"/>
    <xf numFmtId="0" fontId="8" fillId="0" borderId="16" xfId="0" applyFont="1" applyBorder="1"/>
    <xf numFmtId="0" fontId="9" fillId="0" borderId="17" xfId="0" applyFont="1" applyBorder="1"/>
    <xf numFmtId="0" fontId="8" fillId="0" borderId="18" xfId="0" applyFont="1" applyBorder="1"/>
    <xf numFmtId="0" fontId="8" fillId="0" borderId="19" xfId="0" applyFont="1" applyBorder="1"/>
    <xf numFmtId="0" fontId="10" fillId="0" borderId="0" xfId="0" applyFont="1"/>
    <xf numFmtId="0" fontId="30" fillId="0" borderId="0" xfId="0" applyFont="1"/>
    <xf numFmtId="0" fontId="21" fillId="0" borderId="0" xfId="0" applyFont="1"/>
    <xf numFmtId="0" fontId="31" fillId="0" borderId="0" xfId="0" applyFont="1"/>
    <xf numFmtId="0" fontId="32" fillId="0" borderId="0" xfId="0" applyFont="1"/>
    <xf numFmtId="10" fontId="8" fillId="3" borderId="12" xfId="2" applyNumberFormat="1" applyFont="1" applyFill="1" applyBorder="1"/>
    <xf numFmtId="9" fontId="8" fillId="3" borderId="12" xfId="2" applyFont="1" applyFill="1" applyBorder="1"/>
    <xf numFmtId="10" fontId="8" fillId="0" borderId="3" xfId="0" applyNumberFormat="1" applyFont="1" applyBorder="1" applyAlignment="1">
      <alignment horizontal="center"/>
    </xf>
    <xf numFmtId="0" fontId="8" fillId="21" borderId="0" xfId="0" applyFont="1" applyFill="1"/>
    <xf numFmtId="2" fontId="8" fillId="0" borderId="0" xfId="0" applyNumberFormat="1" applyFont="1" applyAlignment="1">
      <alignment horizontal="center"/>
    </xf>
    <xf numFmtId="2" fontId="8" fillId="9" borderId="12" xfId="0" applyNumberFormat="1" applyFont="1" applyFill="1" applyBorder="1" applyAlignment="1">
      <alignment horizontal="center"/>
    </xf>
    <xf numFmtId="2" fontId="8" fillId="0" borderId="3" xfId="0" applyNumberFormat="1" applyFont="1" applyBorder="1" applyAlignment="1">
      <alignment horizontal="center"/>
    </xf>
    <xf numFmtId="0" fontId="8" fillId="0" borderId="3" xfId="0" applyFont="1" applyBorder="1"/>
    <xf numFmtId="2" fontId="8" fillId="10" borderId="3" xfId="0" applyNumberFormat="1" applyFont="1" applyFill="1" applyBorder="1" applyAlignment="1">
      <alignment horizontal="center"/>
    </xf>
    <xf numFmtId="2" fontId="8" fillId="0" borderId="14" xfId="0" applyNumberFormat="1" applyFont="1" applyBorder="1" applyAlignment="1">
      <alignment horizontal="center"/>
    </xf>
    <xf numFmtId="0" fontId="8" fillId="0" borderId="17" xfId="0" applyFont="1" applyBorder="1"/>
    <xf numFmtId="2" fontId="8" fillId="0" borderId="18" xfId="0" applyNumberFormat="1" applyFont="1" applyBorder="1" applyAlignment="1">
      <alignment horizontal="center"/>
    </xf>
    <xf numFmtId="0" fontId="13" fillId="0" borderId="13" xfId="0" applyFont="1" applyBorder="1"/>
    <xf numFmtId="0" fontId="13" fillId="0" borderId="14" xfId="0" applyFont="1" applyBorder="1"/>
    <xf numFmtId="0" fontId="13" fillId="0" borderId="15" xfId="0" applyFont="1" applyBorder="1"/>
    <xf numFmtId="0" fontId="13" fillId="0" borderId="6" xfId="0" applyFont="1" applyBorder="1"/>
    <xf numFmtId="0" fontId="13" fillId="0" borderId="16" xfId="0" applyFont="1" applyBorder="1"/>
    <xf numFmtId="0" fontId="13" fillId="0" borderId="17" xfId="0" applyFont="1" applyBorder="1"/>
    <xf numFmtId="0" fontId="13" fillId="0" borderId="18" xfId="0" applyFont="1" applyBorder="1"/>
    <xf numFmtId="0" fontId="13" fillId="0" borderId="19" xfId="0" applyFont="1" applyBorder="1"/>
    <xf numFmtId="172" fontId="8" fillId="16" borderId="12" xfId="0" applyNumberFormat="1" applyFont="1" applyFill="1" applyBorder="1" applyAlignment="1">
      <alignment horizontal="center"/>
    </xf>
    <xf numFmtId="2" fontId="8" fillId="3" borderId="0" xfId="0" applyNumberFormat="1" applyFont="1" applyFill="1" applyAlignment="1">
      <alignment horizontal="center"/>
    </xf>
    <xf numFmtId="9" fontId="8" fillId="3" borderId="0" xfId="0" applyNumberFormat="1" applyFont="1" applyFill="1" applyAlignment="1">
      <alignment horizontal="center"/>
    </xf>
    <xf numFmtId="0" fontId="13" fillId="3" borderId="0" xfId="0" applyFont="1" applyFill="1"/>
    <xf numFmtId="39" fontId="8" fillId="0" borderId="3" xfId="0" applyNumberFormat="1" applyFont="1" applyBorder="1" applyAlignment="1">
      <alignment horizontal="center"/>
    </xf>
    <xf numFmtId="0" fontId="15" fillId="6" borderId="0" xfId="0" applyFont="1" applyFill="1"/>
    <xf numFmtId="0" fontId="14" fillId="22" borderId="0" xfId="0" applyFont="1" applyFill="1"/>
    <xf numFmtId="3" fontId="33" fillId="6" borderId="0" xfId="0" applyNumberFormat="1" applyFont="1" applyFill="1"/>
    <xf numFmtId="0" fontId="14" fillId="6" borderId="0" xfId="0" applyFont="1" applyFill="1"/>
    <xf numFmtId="0" fontId="14" fillId="3" borderId="12" xfId="0" applyFont="1" applyFill="1" applyBorder="1"/>
    <xf numFmtId="3" fontId="14" fillId="6" borderId="0" xfId="0" applyNumberFormat="1" applyFont="1" applyFill="1"/>
    <xf numFmtId="0" fontId="15" fillId="0" borderId="12" xfId="0" applyFont="1" applyBorder="1"/>
    <xf numFmtId="0" fontId="22" fillId="22" borderId="12" xfId="0" applyFont="1" applyFill="1" applyBorder="1"/>
    <xf numFmtId="3" fontId="15" fillId="0" borderId="12" xfId="0" applyNumberFormat="1" applyFont="1" applyBorder="1"/>
    <xf numFmtId="0" fontId="34" fillId="23" borderId="0" xfId="0" applyFont="1" applyFill="1" applyAlignment="1">
      <alignment horizontal="center"/>
    </xf>
    <xf numFmtId="0" fontId="15" fillId="0" borderId="11" xfId="0" applyFont="1" applyBorder="1" applyAlignment="1">
      <alignment horizontal="center"/>
    </xf>
    <xf numFmtId="37" fontId="14" fillId="24" borderId="0" xfId="0" applyNumberFormat="1" applyFont="1" applyFill="1" applyAlignment="1">
      <alignment horizontal="center"/>
    </xf>
    <xf numFmtId="37" fontId="14" fillId="11" borderId="0" xfId="0" applyNumberFormat="1" applyFont="1" applyFill="1" applyAlignment="1">
      <alignment horizontal="center"/>
    </xf>
    <xf numFmtId="37" fontId="14" fillId="0" borderId="0" xfId="0" applyNumberFormat="1" applyFont="1" applyAlignment="1">
      <alignment horizontal="center"/>
    </xf>
    <xf numFmtId="9" fontId="14" fillId="0" borderId="0" xfId="2" applyFont="1" applyAlignment="1">
      <alignment horizontal="center"/>
    </xf>
    <xf numFmtId="0" fontId="14" fillId="6" borderId="30" xfId="0" applyFont="1" applyFill="1" applyBorder="1" applyAlignment="1">
      <alignment horizontal="center"/>
    </xf>
    <xf numFmtId="37" fontId="14" fillId="6" borderId="30" xfId="0" applyNumberFormat="1" applyFont="1" applyFill="1" applyBorder="1" applyAlignment="1">
      <alignment horizontal="center"/>
    </xf>
    <xf numFmtId="37" fontId="14" fillId="0" borderId="3" xfId="0" applyNumberFormat="1" applyFont="1" applyBorder="1" applyAlignment="1">
      <alignment horizontal="center"/>
    </xf>
    <xf numFmtId="37" fontId="14" fillId="15" borderId="3" xfId="0" applyNumberFormat="1" applyFont="1" applyFill="1" applyBorder="1" applyAlignment="1">
      <alignment horizontal="center"/>
    </xf>
    <xf numFmtId="37" fontId="14" fillId="24" borderId="3" xfId="0" applyNumberFormat="1" applyFont="1" applyFill="1" applyBorder="1" applyAlignment="1">
      <alignment horizontal="center"/>
    </xf>
    <xf numFmtId="37" fontId="14" fillId="12" borderId="3" xfId="0" applyNumberFormat="1" applyFont="1" applyFill="1" applyBorder="1" applyAlignment="1">
      <alignment horizontal="center"/>
    </xf>
    <xf numFmtId="0" fontId="14" fillId="0" borderId="3" xfId="0" applyFont="1" applyBorder="1" applyAlignment="1">
      <alignment horizontal="right"/>
    </xf>
    <xf numFmtId="37" fontId="14" fillId="6" borderId="0" xfId="0" applyNumberFormat="1" applyFont="1" applyFill="1" applyAlignment="1">
      <alignment horizontal="center"/>
    </xf>
    <xf numFmtId="0" fontId="35" fillId="0" borderId="0" xfId="0" applyFont="1" applyAlignment="1">
      <alignment horizontal="center"/>
    </xf>
    <xf numFmtId="37" fontId="35" fillId="0" borderId="30" xfId="0" applyNumberFormat="1" applyFont="1" applyBorder="1" applyAlignment="1">
      <alignment horizontal="center"/>
    </xf>
    <xf numFmtId="37" fontId="14" fillId="14" borderId="0" xfId="0" applyNumberFormat="1" applyFont="1" applyFill="1"/>
    <xf numFmtId="37" fontId="14" fillId="0" borderId="30" xfId="0" applyNumberFormat="1" applyFont="1" applyBorder="1" applyAlignment="1">
      <alignment horizontal="center"/>
    </xf>
    <xf numFmtId="0" fontId="14" fillId="0" borderId="4" xfId="0" applyFont="1" applyBorder="1" applyAlignment="1">
      <alignment horizontal="center"/>
    </xf>
    <xf numFmtId="37" fontId="14" fillId="15" borderId="4" xfId="0" applyNumberFormat="1" applyFont="1" applyFill="1" applyBorder="1" applyAlignment="1">
      <alignment horizontal="center"/>
    </xf>
    <xf numFmtId="37" fontId="14" fillId="24" borderId="4" xfId="0" applyNumberFormat="1" applyFont="1" applyFill="1" applyBorder="1" applyAlignment="1">
      <alignment horizontal="center"/>
    </xf>
    <xf numFmtId="37" fontId="14" fillId="12" borderId="4" xfId="0" applyNumberFormat="1" applyFont="1" applyFill="1" applyBorder="1" applyAlignment="1">
      <alignment horizontal="center"/>
    </xf>
    <xf numFmtId="37" fontId="14" fillId="0" borderId="4" xfId="0" applyNumberFormat="1" applyFont="1" applyBorder="1" applyAlignment="1">
      <alignment horizontal="center"/>
    </xf>
    <xf numFmtId="37" fontId="35" fillId="0" borderId="0" xfId="0" applyNumberFormat="1" applyFont="1" applyAlignment="1">
      <alignment horizontal="center"/>
    </xf>
    <xf numFmtId="37" fontId="14" fillId="14" borderId="0" xfId="0" applyNumberFormat="1" applyFont="1" applyFill="1" applyAlignment="1">
      <alignment horizontal="center"/>
    </xf>
    <xf numFmtId="166" fontId="8" fillId="0" borderId="0" xfId="1" applyFont="1"/>
    <xf numFmtId="0" fontId="6" fillId="0" borderId="3" xfId="0" applyFont="1" applyBorder="1" applyAlignment="1">
      <alignment horizontal="center"/>
    </xf>
    <xf numFmtId="39" fontId="6" fillId="0" borderId="3" xfId="0" applyNumberFormat="1" applyFont="1" applyBorder="1" applyAlignment="1">
      <alignment horizontal="center"/>
    </xf>
    <xf numFmtId="0" fontId="13" fillId="0" borderId="3" xfId="0" applyFont="1" applyBorder="1" applyAlignment="1">
      <alignment horizontal="center"/>
    </xf>
    <xf numFmtId="2" fontId="6" fillId="0" borderId="3" xfId="0" applyNumberFormat="1" applyFont="1" applyBorder="1" applyAlignment="1">
      <alignment horizontal="center"/>
    </xf>
    <xf numFmtId="0" fontId="6" fillId="0" borderId="0" xfId="0" applyFont="1"/>
    <xf numFmtId="39" fontId="36" fillId="6" borderId="0" xfId="0" applyNumberFormat="1" applyFont="1" applyFill="1" applyAlignment="1">
      <alignment horizontal="center"/>
    </xf>
    <xf numFmtId="3" fontId="6" fillId="0" borderId="3" xfId="0" applyNumberFormat="1" applyFont="1" applyBorder="1" applyAlignment="1">
      <alignment horizontal="center"/>
    </xf>
    <xf numFmtId="3" fontId="13" fillId="0" borderId="3" xfId="0" applyNumberFormat="1" applyFont="1" applyBorder="1" applyAlignment="1">
      <alignment horizontal="center"/>
    </xf>
    <xf numFmtId="3" fontId="13" fillId="0" borderId="0" xfId="0" applyNumberFormat="1" applyFont="1" applyAlignment="1">
      <alignment horizontal="center"/>
    </xf>
    <xf numFmtId="3" fontId="6" fillId="0" borderId="0" xfId="0" applyNumberFormat="1" applyFont="1" applyAlignment="1">
      <alignment horizontal="center"/>
    </xf>
    <xf numFmtId="2" fontId="6" fillId="0" borderId="0" xfId="0" applyNumberFormat="1" applyFont="1" applyAlignment="1">
      <alignment horizontal="center"/>
    </xf>
    <xf numFmtId="37" fontId="6" fillId="0" borderId="3" xfId="0" applyNumberFormat="1" applyFont="1" applyBorder="1" applyAlignment="1">
      <alignment horizontal="center"/>
    </xf>
    <xf numFmtId="37" fontId="36" fillId="6" borderId="0" xfId="0" applyNumberFormat="1" applyFont="1" applyFill="1" applyAlignment="1">
      <alignment horizontal="center"/>
    </xf>
    <xf numFmtId="10" fontId="8" fillId="12" borderId="3" xfId="0" applyNumberFormat="1" applyFont="1" applyFill="1" applyBorder="1" applyAlignment="1">
      <alignment horizontal="center"/>
    </xf>
    <xf numFmtId="0" fontId="26" fillId="0" borderId="3" xfId="0" applyFont="1" applyBorder="1" applyAlignment="1">
      <alignment horizontal="center"/>
    </xf>
    <xf numFmtId="0" fontId="26" fillId="0" borderId="0" xfId="0" applyFont="1"/>
    <xf numFmtId="0" fontId="36" fillId="3" borderId="0" xfId="0" applyFont="1" applyFill="1"/>
    <xf numFmtId="37" fontId="14" fillId="6" borderId="0" xfId="0" applyNumberFormat="1" applyFont="1" applyFill="1"/>
    <xf numFmtId="37" fontId="14" fillId="0" borderId="0" xfId="0" applyNumberFormat="1" applyFont="1"/>
    <xf numFmtId="3" fontId="15" fillId="0" borderId="28" xfId="0" applyNumberFormat="1" applyFont="1" applyBorder="1"/>
    <xf numFmtId="0" fontId="33" fillId="0" borderId="0" xfId="0" applyFont="1"/>
    <xf numFmtId="37" fontId="33" fillId="0" borderId="0" xfId="0" applyNumberFormat="1" applyFont="1"/>
    <xf numFmtId="37" fontId="33" fillId="6" borderId="0" xfId="0" applyNumberFormat="1" applyFont="1" applyFill="1"/>
    <xf numFmtId="37" fontId="33" fillId="3" borderId="0" xfId="0" applyNumberFormat="1" applyFont="1" applyFill="1"/>
    <xf numFmtId="37" fontId="19" fillId="0" borderId="0" xfId="0" applyNumberFormat="1" applyFont="1"/>
    <xf numFmtId="0" fontId="19" fillId="0" borderId="0" xfId="0" applyFont="1"/>
    <xf numFmtId="37" fontId="38" fillId="0" borderId="8" xfId="0" applyNumberFormat="1" applyFont="1" applyBorder="1"/>
    <xf numFmtId="37" fontId="38" fillId="0" borderId="12" xfId="0" applyNumberFormat="1" applyFont="1" applyBorder="1"/>
    <xf numFmtId="166" fontId="22" fillId="22" borderId="12" xfId="1" applyFont="1" applyFill="1" applyBorder="1"/>
    <xf numFmtId="0" fontId="39" fillId="0" borderId="0" xfId="0" applyFont="1"/>
    <xf numFmtId="0" fontId="17" fillId="0" borderId="3" xfId="0" applyFont="1" applyBorder="1" applyAlignment="1">
      <alignment horizontal="center"/>
    </xf>
    <xf numFmtId="0" fontId="39" fillId="0" borderId="3" xfId="0" applyFont="1" applyBorder="1" applyAlignment="1">
      <alignment horizontal="right"/>
    </xf>
    <xf numFmtId="175" fontId="8" fillId="0" borderId="0" xfId="0" applyNumberFormat="1" applyFont="1"/>
    <xf numFmtId="169" fontId="8" fillId="0" borderId="0" xfId="0" applyNumberFormat="1" applyFont="1"/>
    <xf numFmtId="3" fontId="9" fillId="3" borderId="0" xfId="0" applyNumberFormat="1" applyFont="1" applyFill="1"/>
    <xf numFmtId="0" fontId="9" fillId="0" borderId="0" xfId="0" applyFont="1" applyAlignment="1">
      <alignment horizontal="right"/>
    </xf>
    <xf numFmtId="0" fontId="8" fillId="0" borderId="6" xfId="0" applyFont="1" applyBorder="1"/>
    <xf numFmtId="0" fontId="8" fillId="0" borderId="13" xfId="0" applyFont="1" applyBorder="1"/>
    <xf numFmtId="0" fontId="9" fillId="8" borderId="0" xfId="0" applyFont="1" applyFill="1"/>
    <xf numFmtId="0" fontId="8" fillId="8" borderId="0" xfId="0" applyFont="1" applyFill="1"/>
    <xf numFmtId="3" fontId="8" fillId="16" borderId="0" xfId="0" applyNumberFormat="1" applyFont="1" applyFill="1" applyAlignment="1">
      <alignment horizontal="center"/>
    </xf>
    <xf numFmtId="3" fontId="8" fillId="16" borderId="11" xfId="0" applyNumberFormat="1" applyFont="1" applyFill="1" applyBorder="1" applyAlignment="1">
      <alignment horizontal="center"/>
    </xf>
    <xf numFmtId="3" fontId="8" fillId="3" borderId="11" xfId="0" applyNumberFormat="1" applyFont="1" applyFill="1" applyBorder="1" applyAlignment="1">
      <alignment horizontal="center"/>
    </xf>
    <xf numFmtId="3" fontId="8" fillId="6" borderId="11" xfId="0" applyNumberFormat="1" applyFont="1" applyFill="1" applyBorder="1" applyAlignment="1">
      <alignment horizontal="center"/>
    </xf>
    <xf numFmtId="3" fontId="8" fillId="6" borderId="0" xfId="0" applyNumberFormat="1" applyFont="1" applyFill="1" applyAlignment="1">
      <alignment horizontal="center"/>
    </xf>
    <xf numFmtId="3" fontId="35" fillId="3" borderId="12" xfId="0" applyNumberFormat="1" applyFont="1" applyFill="1" applyBorder="1" applyAlignment="1">
      <alignment horizontal="center"/>
    </xf>
    <xf numFmtId="4" fontId="8" fillId="3" borderId="0" xfId="0" applyNumberFormat="1" applyFont="1" applyFill="1"/>
    <xf numFmtId="4" fontId="9" fillId="3" borderId="0" xfId="0" applyNumberFormat="1" applyFont="1" applyFill="1"/>
    <xf numFmtId="3" fontId="8" fillId="12" borderId="0" xfId="0" applyNumberFormat="1" applyFont="1" applyFill="1"/>
    <xf numFmtId="3" fontId="8" fillId="10" borderId="0" xfId="0" applyNumberFormat="1" applyFont="1" applyFill="1"/>
    <xf numFmtId="3" fontId="9" fillId="3" borderId="12" xfId="0" applyNumberFormat="1" applyFont="1" applyFill="1" applyBorder="1"/>
    <xf numFmtId="4" fontId="8" fillId="12" borderId="0" xfId="0" applyNumberFormat="1" applyFont="1" applyFill="1"/>
    <xf numFmtId="4" fontId="8" fillId="14" borderId="0" xfId="0" applyNumberFormat="1" applyFont="1" applyFill="1"/>
    <xf numFmtId="4" fontId="8" fillId="8" borderId="0" xfId="0" applyNumberFormat="1" applyFont="1" applyFill="1"/>
    <xf numFmtId="173" fontId="8" fillId="3" borderId="0" xfId="2" applyNumberFormat="1" applyFont="1" applyFill="1"/>
    <xf numFmtId="176" fontId="8" fillId="0" borderId="0" xfId="0" applyNumberFormat="1" applyFont="1" applyAlignment="1">
      <alignment horizontal="center"/>
    </xf>
    <xf numFmtId="176" fontId="8" fillId="3" borderId="0" xfId="0" applyNumberFormat="1" applyFont="1" applyFill="1" applyAlignment="1">
      <alignment horizontal="center"/>
    </xf>
    <xf numFmtId="4" fontId="8" fillId="25" borderId="0" xfId="0" applyNumberFormat="1" applyFont="1" applyFill="1"/>
    <xf numFmtId="3" fontId="8" fillId="14" borderId="0" xfId="0" applyNumberFormat="1" applyFont="1" applyFill="1"/>
    <xf numFmtId="0" fontId="8" fillId="0" borderId="11" xfId="0" applyFont="1" applyBorder="1" applyAlignment="1">
      <alignment wrapText="1"/>
    </xf>
    <xf numFmtId="0" fontId="9" fillId="0" borderId="11" xfId="0" applyFont="1" applyBorder="1" applyAlignment="1">
      <alignment wrapText="1"/>
    </xf>
    <xf numFmtId="3" fontId="9" fillId="0" borderId="0" xfId="0" applyNumberFormat="1" applyFont="1"/>
    <xf numFmtId="3" fontId="8" fillId="0" borderId="28" xfId="0" applyNumberFormat="1" applyFont="1" applyBorder="1" applyAlignment="1">
      <alignment horizontal="center"/>
    </xf>
    <xf numFmtId="0" fontId="8" fillId="12" borderId="0" xfId="0" applyFont="1" applyFill="1"/>
    <xf numFmtId="14" fontId="9" fillId="3" borderId="0" xfId="0" applyNumberFormat="1" applyFont="1" applyFill="1"/>
    <xf numFmtId="14" fontId="8" fillId="0" borderId="13" xfId="0" applyNumberFormat="1" applyFont="1" applyBorder="1"/>
    <xf numFmtId="3" fontId="8" fillId="9" borderId="0" xfId="0" applyNumberFormat="1" applyFont="1" applyFill="1" applyAlignment="1">
      <alignment horizontal="center"/>
    </xf>
    <xf numFmtId="3" fontId="8" fillId="10" borderId="0" xfId="0" applyNumberFormat="1" applyFont="1" applyFill="1" applyAlignment="1">
      <alignment horizontal="center"/>
    </xf>
    <xf numFmtId="10" fontId="8" fillId="3" borderId="12" xfId="0" applyNumberFormat="1" applyFont="1" applyFill="1" applyBorder="1" applyAlignment="1">
      <alignment horizontal="center"/>
    </xf>
    <xf numFmtId="4" fontId="8" fillId="0" borderId="0" xfId="0" applyNumberFormat="1" applyFont="1" applyAlignment="1">
      <alignment horizontal="center"/>
    </xf>
    <xf numFmtId="4" fontId="9" fillId="26" borderId="12" xfId="0" applyNumberFormat="1" applyFont="1" applyFill="1" applyBorder="1" applyAlignment="1">
      <alignment horizontal="center"/>
    </xf>
    <xf numFmtId="3" fontId="9" fillId="9" borderId="0" xfId="0" applyNumberFormat="1" applyFont="1" applyFill="1" applyAlignment="1">
      <alignment horizontal="center"/>
    </xf>
    <xf numFmtId="3" fontId="9" fillId="0" borderId="0" xfId="0" applyNumberFormat="1" applyFont="1" applyAlignment="1">
      <alignment horizontal="center"/>
    </xf>
    <xf numFmtId="3" fontId="10" fillId="3" borderId="12" xfId="0" applyNumberFormat="1" applyFont="1" applyFill="1" applyBorder="1" applyAlignment="1">
      <alignment horizontal="center"/>
    </xf>
    <xf numFmtId="0" fontId="3" fillId="6" borderId="0" xfId="0" applyFont="1" applyFill="1"/>
    <xf numFmtId="0" fontId="3" fillId="6" borderId="0" xfId="0" applyFont="1" applyFill="1" applyAlignment="1">
      <alignment horizontal="center"/>
    </xf>
    <xf numFmtId="0" fontId="2" fillId="12" borderId="0" xfId="0" applyFont="1" applyFill="1"/>
    <xf numFmtId="0" fontId="3" fillId="12" borderId="0" xfId="0" applyFont="1" applyFill="1" applyAlignment="1">
      <alignment horizontal="center"/>
    </xf>
    <xf numFmtId="0" fontId="3" fillId="12" borderId="0" xfId="0" applyFont="1" applyFill="1"/>
    <xf numFmtId="0" fontId="2" fillId="12" borderId="0" xfId="0" applyFont="1" applyFill="1" applyAlignment="1">
      <alignment horizontal="center"/>
    </xf>
    <xf numFmtId="9" fontId="2" fillId="2" borderId="3" xfId="0" applyNumberFormat="1" applyFont="1" applyFill="1" applyBorder="1" applyAlignment="1">
      <alignment horizontal="center"/>
    </xf>
    <xf numFmtId="167" fontId="3" fillId="0" borderId="0" xfId="0" applyNumberFormat="1" applyFont="1" applyAlignment="1">
      <alignment horizontal="center"/>
    </xf>
    <xf numFmtId="167" fontId="3" fillId="2" borderId="3" xfId="0" applyNumberFormat="1" applyFont="1" applyFill="1" applyBorder="1" applyAlignment="1">
      <alignment horizontal="center"/>
    </xf>
    <xf numFmtId="0" fontId="2" fillId="3" borderId="0" xfId="0" applyFont="1" applyFill="1"/>
    <xf numFmtId="177" fontId="3" fillId="3" borderId="0" xfId="0" applyNumberFormat="1" applyFont="1" applyFill="1" applyAlignment="1">
      <alignment horizontal="center"/>
    </xf>
    <xf numFmtId="0" fontId="43" fillId="0" borderId="0" xfId="0" applyFont="1"/>
    <xf numFmtId="0" fontId="3" fillId="0" borderId="14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3" fillId="0" borderId="17" xfId="0" applyFont="1" applyBorder="1" applyAlignment="1">
      <alignment horizontal="center"/>
    </xf>
    <xf numFmtId="0" fontId="3" fillId="0" borderId="18" xfId="0" applyFont="1" applyBorder="1" applyAlignment="1">
      <alignment horizontal="center"/>
    </xf>
    <xf numFmtId="0" fontId="3" fillId="0" borderId="19" xfId="0" applyFont="1" applyBorder="1" applyAlignment="1">
      <alignment horizontal="center"/>
    </xf>
    <xf numFmtId="173" fontId="3" fillId="3" borderId="13" xfId="0" applyNumberFormat="1" applyFont="1" applyFill="1" applyBorder="1" applyAlignment="1">
      <alignment horizontal="center"/>
    </xf>
    <xf numFmtId="174" fontId="3" fillId="0" borderId="0" xfId="2" applyNumberFormat="1" applyFont="1"/>
    <xf numFmtId="0" fontId="3" fillId="0" borderId="11" xfId="0" applyFont="1" applyBorder="1" applyAlignment="1">
      <alignment horizontal="center"/>
    </xf>
    <xf numFmtId="8" fontId="3" fillId="0" borderId="0" xfId="0" applyNumberFormat="1" applyFont="1" applyAlignment="1">
      <alignment horizontal="center"/>
    </xf>
    <xf numFmtId="8" fontId="3" fillId="3" borderId="0" xfId="0" applyNumberFormat="1" applyFont="1" applyFill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14" xfId="0" applyFont="1" applyBorder="1"/>
    <xf numFmtId="0" fontId="3" fillId="0" borderId="15" xfId="0" applyFont="1" applyBorder="1"/>
    <xf numFmtId="0" fontId="3" fillId="0" borderId="16" xfId="0" applyFont="1" applyBorder="1"/>
    <xf numFmtId="0" fontId="3" fillId="0" borderId="18" xfId="0" applyFont="1" applyBorder="1"/>
    <xf numFmtId="0" fontId="3" fillId="0" borderId="19" xfId="0" applyFont="1" applyBorder="1"/>
    <xf numFmtId="0" fontId="2" fillId="0" borderId="22" xfId="0" applyFont="1" applyBorder="1" applyAlignment="1">
      <alignment horizontal="center"/>
    </xf>
    <xf numFmtId="10" fontId="3" fillId="0" borderId="0" xfId="0" applyNumberFormat="1" applyFont="1" applyAlignment="1">
      <alignment horizontal="center"/>
    </xf>
    <xf numFmtId="2" fontId="3" fillId="3" borderId="0" xfId="0" applyNumberFormat="1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4" xfId="0" applyFont="1" applyBorder="1"/>
    <xf numFmtId="0" fontId="2" fillId="0" borderId="15" xfId="0" applyFont="1" applyBorder="1"/>
    <xf numFmtId="0" fontId="2" fillId="0" borderId="6" xfId="0" applyFont="1" applyBorder="1"/>
    <xf numFmtId="0" fontId="2" fillId="0" borderId="16" xfId="0" applyFont="1" applyBorder="1"/>
    <xf numFmtId="0" fontId="2" fillId="0" borderId="18" xfId="0" applyFont="1" applyBorder="1" applyAlignment="1">
      <alignment horizontal="center"/>
    </xf>
    <xf numFmtId="0" fontId="2" fillId="0" borderId="18" xfId="0" applyFont="1" applyBorder="1"/>
    <xf numFmtId="0" fontId="2" fillId="0" borderId="19" xfId="0" applyFont="1" applyBorder="1"/>
    <xf numFmtId="0" fontId="43" fillId="0" borderId="13" xfId="0" applyFont="1" applyBorder="1"/>
    <xf numFmtId="0" fontId="43" fillId="0" borderId="6" xfId="0" applyFont="1" applyBorder="1"/>
    <xf numFmtId="0" fontId="43" fillId="0" borderId="17" xfId="0" applyFont="1" applyBorder="1"/>
    <xf numFmtId="0" fontId="3" fillId="9" borderId="0" xfId="0" applyFont="1" applyFill="1"/>
    <xf numFmtId="0" fontId="3" fillId="9" borderId="0" xfId="0" applyFont="1" applyFill="1" applyAlignment="1">
      <alignment horizontal="center"/>
    </xf>
    <xf numFmtId="0" fontId="3" fillId="9" borderId="11" xfId="0" applyFont="1" applyFill="1" applyBorder="1" applyAlignment="1">
      <alignment horizontal="center"/>
    </xf>
    <xf numFmtId="169" fontId="3" fillId="9" borderId="0" xfId="0" applyNumberFormat="1" applyFont="1" applyFill="1" applyAlignment="1">
      <alignment horizontal="center"/>
    </xf>
    <xf numFmtId="0" fontId="3" fillId="8" borderId="0" xfId="0" applyFont="1" applyFill="1"/>
    <xf numFmtId="0" fontId="3" fillId="8" borderId="0" xfId="0" applyFont="1" applyFill="1" applyAlignment="1">
      <alignment horizontal="center"/>
    </xf>
    <xf numFmtId="0" fontId="3" fillId="8" borderId="11" xfId="0" applyFont="1" applyFill="1" applyBorder="1" applyAlignment="1">
      <alignment horizontal="center"/>
    </xf>
    <xf numFmtId="169" fontId="3" fillId="8" borderId="0" xfId="0" applyNumberFormat="1" applyFont="1" applyFill="1" applyAlignment="1">
      <alignment horizontal="center"/>
    </xf>
    <xf numFmtId="0" fontId="3" fillId="27" borderId="0" xfId="0" applyFont="1" applyFill="1"/>
    <xf numFmtId="0" fontId="3" fillId="27" borderId="0" xfId="0" applyFont="1" applyFill="1" applyAlignment="1">
      <alignment horizontal="center"/>
    </xf>
    <xf numFmtId="0" fontId="3" fillId="27" borderId="11" xfId="0" applyFont="1" applyFill="1" applyBorder="1" applyAlignment="1">
      <alignment horizontal="center"/>
    </xf>
    <xf numFmtId="169" fontId="3" fillId="27" borderId="0" xfId="0" applyNumberFormat="1" applyFont="1" applyFill="1" applyAlignment="1">
      <alignment horizontal="center"/>
    </xf>
    <xf numFmtId="2" fontId="3" fillId="8" borderId="0" xfId="0" applyNumberFormat="1" applyFont="1" applyFill="1" applyAlignment="1">
      <alignment horizontal="center"/>
    </xf>
    <xf numFmtId="0" fontId="3" fillId="0" borderId="16" xfId="0" applyFont="1" applyBorder="1" applyAlignment="1">
      <alignment horizontal="center"/>
    </xf>
    <xf numFmtId="0" fontId="3" fillId="0" borderId="17" xfId="0" applyFont="1" applyBorder="1"/>
    <xf numFmtId="0" fontId="43" fillId="0" borderId="12" xfId="0" applyFont="1" applyBorder="1"/>
    <xf numFmtId="0" fontId="43" fillId="0" borderId="12" xfId="0" applyFont="1" applyBorder="1" applyAlignment="1">
      <alignment horizontal="center"/>
    </xf>
    <xf numFmtId="9" fontId="3" fillId="0" borderId="13" xfId="2" applyFont="1" applyBorder="1" applyAlignment="1">
      <alignment horizontal="center"/>
    </xf>
    <xf numFmtId="4" fontId="3" fillId="3" borderId="6" xfId="0" applyNumberFormat="1" applyFont="1" applyFill="1" applyBorder="1" applyAlignment="1">
      <alignment horizontal="center"/>
    </xf>
    <xf numFmtId="9" fontId="3" fillId="0" borderId="14" xfId="0" applyNumberFormat="1" applyFont="1" applyBorder="1" applyAlignment="1">
      <alignment horizontal="center"/>
    </xf>
    <xf numFmtId="4" fontId="3" fillId="0" borderId="0" xfId="0" applyNumberFormat="1" applyFont="1" applyAlignment="1">
      <alignment horizontal="center"/>
    </xf>
    <xf numFmtId="4" fontId="3" fillId="3" borderId="0" xfId="0" applyNumberFormat="1" applyFont="1" applyFill="1" applyAlignment="1">
      <alignment horizontal="center"/>
    </xf>
    <xf numFmtId="0" fontId="2" fillId="28" borderId="13" xfId="0" applyFont="1" applyFill="1" applyBorder="1"/>
    <xf numFmtId="0" fontId="3" fillId="28" borderId="14" xfId="0" applyFont="1" applyFill="1" applyBorder="1" applyAlignment="1">
      <alignment horizontal="center"/>
    </xf>
    <xf numFmtId="0" fontId="3" fillId="0" borderId="18" xfId="0" applyFont="1" applyBorder="1" applyAlignment="1">
      <alignment horizontal="right"/>
    </xf>
    <xf numFmtId="173" fontId="3" fillId="3" borderId="0" xfId="0" applyNumberFormat="1" applyFont="1" applyFill="1" applyAlignment="1">
      <alignment horizontal="center"/>
    </xf>
    <xf numFmtId="0" fontId="43" fillId="0" borderId="14" xfId="0" applyFont="1" applyBorder="1" applyAlignment="1">
      <alignment horizontal="center"/>
    </xf>
    <xf numFmtId="0" fontId="43" fillId="0" borderId="14" xfId="0" applyFont="1" applyBorder="1"/>
    <xf numFmtId="0" fontId="43" fillId="0" borderId="15" xfId="0" applyFont="1" applyBorder="1"/>
    <xf numFmtId="0" fontId="43" fillId="0" borderId="0" xfId="0" applyFont="1" applyAlignment="1">
      <alignment horizontal="center"/>
    </xf>
    <xf numFmtId="0" fontId="43" fillId="0" borderId="16" xfId="0" applyFont="1" applyBorder="1"/>
    <xf numFmtId="0" fontId="43" fillId="0" borderId="18" xfId="0" applyFont="1" applyBorder="1" applyAlignment="1">
      <alignment horizontal="center"/>
    </xf>
    <xf numFmtId="0" fontId="43" fillId="0" borderId="18" xfId="0" applyFont="1" applyBorder="1"/>
    <xf numFmtId="0" fontId="43" fillId="0" borderId="19" xfId="0" applyFont="1" applyBorder="1"/>
    <xf numFmtId="0" fontId="44" fillId="0" borderId="0" xfId="0" applyFont="1" applyAlignment="1">
      <alignment horizontal="right" vertical="center"/>
    </xf>
    <xf numFmtId="0" fontId="44" fillId="0" borderId="0" xfId="0" applyFont="1" applyAlignment="1">
      <alignment horizontal="center" vertical="center"/>
    </xf>
    <xf numFmtId="8" fontId="3" fillId="0" borderId="0" xfId="0" applyNumberFormat="1" applyFont="1"/>
    <xf numFmtId="8" fontId="3" fillId="3" borderId="0" xfId="0" applyNumberFormat="1" applyFont="1" applyFill="1"/>
    <xf numFmtId="9" fontId="6" fillId="0" borderId="0" xfId="0" applyNumberFormat="1" applyFont="1" applyAlignment="1">
      <alignment horizontal="center"/>
    </xf>
    <xf numFmtId="1" fontId="6" fillId="3" borderId="0" xfId="0" applyNumberFormat="1" applyFont="1" applyFill="1" applyAlignment="1">
      <alignment horizontal="center"/>
    </xf>
    <xf numFmtId="0" fontId="25" fillId="0" borderId="0" xfId="0" applyFont="1"/>
    <xf numFmtId="0" fontId="6" fillId="0" borderId="11" xfId="0" applyFont="1" applyBorder="1" applyAlignment="1">
      <alignment horizontal="center"/>
    </xf>
    <xf numFmtId="1" fontId="6" fillId="0" borderId="20" xfId="0" applyNumberFormat="1" applyFont="1" applyBorder="1" applyAlignment="1">
      <alignment horizontal="center"/>
    </xf>
    <xf numFmtId="1" fontId="6" fillId="0" borderId="21" xfId="0" applyNumberFormat="1" applyFont="1" applyBorder="1" applyAlignment="1">
      <alignment horizontal="center"/>
    </xf>
    <xf numFmtId="1" fontId="6" fillId="0" borderId="22" xfId="0" applyNumberFormat="1" applyFont="1" applyBorder="1" applyAlignment="1">
      <alignment horizontal="center"/>
    </xf>
    <xf numFmtId="8" fontId="8" fillId="3" borderId="0" xfId="0" applyNumberFormat="1" applyFont="1" applyFill="1" applyAlignment="1">
      <alignment horizontal="center"/>
    </xf>
    <xf numFmtId="8" fontId="8" fillId="9" borderId="0" xfId="0" applyNumberFormat="1" applyFont="1" applyFill="1" applyAlignment="1">
      <alignment horizontal="center"/>
    </xf>
    <xf numFmtId="2" fontId="6" fillId="27" borderId="0" xfId="0" applyNumberFormat="1" applyFont="1" applyFill="1" applyAlignment="1">
      <alignment horizontal="center"/>
    </xf>
    <xf numFmtId="2" fontId="8" fillId="9" borderId="0" xfId="0" applyNumberFormat="1" applyFont="1" applyFill="1" applyAlignment="1">
      <alignment horizontal="center"/>
    </xf>
    <xf numFmtId="2" fontId="8" fillId="27" borderId="0" xfId="0" applyNumberFormat="1" applyFont="1" applyFill="1" applyAlignment="1">
      <alignment horizontal="center"/>
    </xf>
    <xf numFmtId="2" fontId="25" fillId="4" borderId="0" xfId="0" applyNumberFormat="1" applyFont="1" applyFill="1" applyAlignment="1">
      <alignment horizontal="center"/>
    </xf>
    <xf numFmtId="0" fontId="45" fillId="0" borderId="0" xfId="0" applyFont="1"/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8" fillId="0" borderId="22" xfId="0" applyFont="1" applyBorder="1" applyAlignment="1">
      <alignment horizontal="center"/>
    </xf>
    <xf numFmtId="43" fontId="8" fillId="0" borderId="0" xfId="0" applyNumberFormat="1" applyFont="1"/>
    <xf numFmtId="0" fontId="33" fillId="9" borderId="0" xfId="0" applyFont="1" applyFill="1" applyAlignment="1">
      <alignment horizontal="center"/>
    </xf>
    <xf numFmtId="3" fontId="33" fillId="3" borderId="0" xfId="0" applyNumberFormat="1" applyFont="1" applyFill="1" applyAlignment="1">
      <alignment horizontal="center"/>
    </xf>
    <xf numFmtId="9" fontId="33" fillId="0" borderId="0" xfId="0" applyNumberFormat="1" applyFont="1" applyAlignment="1">
      <alignment horizontal="center"/>
    </xf>
    <xf numFmtId="0" fontId="33" fillId="0" borderId="0" xfId="0" applyFont="1" applyAlignment="1">
      <alignment horizontal="center"/>
    </xf>
    <xf numFmtId="3" fontId="33" fillId="0" borderId="0" xfId="0" applyNumberFormat="1" applyFont="1" applyAlignment="1">
      <alignment horizontal="center"/>
    </xf>
    <xf numFmtId="3" fontId="33" fillId="3" borderId="12" xfId="0" applyNumberFormat="1" applyFont="1" applyFill="1" applyBorder="1" applyAlignment="1">
      <alignment horizontal="center"/>
    </xf>
    <xf numFmtId="0" fontId="47" fillId="0" borderId="0" xfId="0" applyFont="1" applyAlignment="1">
      <alignment horizontal="center"/>
    </xf>
    <xf numFmtId="169" fontId="33" fillId="0" borderId="0" xfId="0" applyNumberFormat="1" applyFont="1" applyAlignment="1">
      <alignment horizontal="center"/>
    </xf>
    <xf numFmtId="3" fontId="33" fillId="9" borderId="0" xfId="0" applyNumberFormat="1" applyFont="1" applyFill="1" applyAlignment="1">
      <alignment horizontal="center"/>
    </xf>
    <xf numFmtId="3" fontId="38" fillId="27" borderId="0" xfId="0" applyNumberFormat="1" applyFont="1" applyFill="1"/>
    <xf numFmtId="0" fontId="14" fillId="24" borderId="0" xfId="0" applyFont="1" applyFill="1" applyAlignment="1">
      <alignment horizontal="center"/>
    </xf>
    <xf numFmtId="3" fontId="14" fillId="24" borderId="0" xfId="0" applyNumberFormat="1" applyFont="1" applyFill="1" applyAlignment="1">
      <alignment horizontal="center"/>
    </xf>
    <xf numFmtId="0" fontId="14" fillId="27" borderId="0" xfId="0" applyFont="1" applyFill="1"/>
    <xf numFmtId="4" fontId="14" fillId="27" borderId="0" xfId="0" applyNumberFormat="1" applyFont="1" applyFill="1" applyAlignment="1">
      <alignment horizontal="center"/>
    </xf>
    <xf numFmtId="0" fontId="14" fillId="24" borderId="11" xfId="0" applyFont="1" applyFill="1" applyBorder="1" applyAlignment="1">
      <alignment horizontal="center"/>
    </xf>
    <xf numFmtId="3" fontId="14" fillId="24" borderId="11" xfId="0" applyNumberFormat="1" applyFont="1" applyFill="1" applyBorder="1" applyAlignment="1">
      <alignment horizontal="center"/>
    </xf>
    <xf numFmtId="0" fontId="15" fillId="0" borderId="0" xfId="0" applyFont="1" applyAlignment="1">
      <alignment horizontal="right"/>
    </xf>
    <xf numFmtId="0" fontId="14" fillId="0" borderId="14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2" fontId="38" fillId="0" borderId="0" xfId="0" applyNumberFormat="1" applyFont="1" applyAlignment="1">
      <alignment horizontal="center"/>
    </xf>
    <xf numFmtId="0" fontId="14" fillId="0" borderId="8" xfId="0" applyFont="1" applyBorder="1"/>
    <xf numFmtId="0" fontId="14" fillId="0" borderId="0" xfId="0" applyFont="1" applyAlignment="1">
      <alignment horizontal="right" readingOrder="2"/>
    </xf>
    <xf numFmtId="0" fontId="15" fillId="0" borderId="0" xfId="0" applyFont="1" applyAlignment="1">
      <alignment horizontal="right" readingOrder="2"/>
    </xf>
    <xf numFmtId="0" fontId="33" fillId="3" borderId="0" xfId="0" applyFont="1" applyFill="1" applyAlignment="1">
      <alignment horizontal="center"/>
    </xf>
    <xf numFmtId="0" fontId="15" fillId="9" borderId="0" xfId="0" applyFont="1" applyFill="1" applyAlignment="1">
      <alignment horizontal="right"/>
    </xf>
    <xf numFmtId="0" fontId="18" fillId="0" borderId="14" xfId="0" applyFont="1" applyBorder="1"/>
    <xf numFmtId="0" fontId="18" fillId="0" borderId="15" xfId="0" applyFont="1" applyBorder="1"/>
    <xf numFmtId="0" fontId="18" fillId="0" borderId="18" xfId="0" applyFont="1" applyBorder="1"/>
    <xf numFmtId="0" fontId="18" fillId="0" borderId="19" xfId="0" applyFont="1" applyBorder="1"/>
    <xf numFmtId="173" fontId="14" fillId="3" borderId="0" xfId="2" applyNumberFormat="1" applyFont="1" applyFill="1"/>
    <xf numFmtId="0" fontId="14" fillId="3" borderId="12" xfId="0" applyFont="1" applyFill="1" applyBorder="1" applyAlignment="1">
      <alignment horizontal="center"/>
    </xf>
    <xf numFmtId="3" fontId="14" fillId="3" borderId="12" xfId="0" applyNumberFormat="1" applyFont="1" applyFill="1" applyBorder="1" applyAlignment="1">
      <alignment horizontal="center"/>
    </xf>
    <xf numFmtId="3" fontId="6" fillId="3" borderId="28" xfId="0" applyNumberFormat="1" applyFont="1" applyFill="1" applyBorder="1" applyAlignment="1">
      <alignment horizontal="center"/>
    </xf>
    <xf numFmtId="3" fontId="6" fillId="3" borderId="0" xfId="0" applyNumberFormat="1" applyFont="1" applyFill="1" applyAlignment="1">
      <alignment horizontal="center"/>
    </xf>
    <xf numFmtId="173" fontId="6" fillId="3" borderId="0" xfId="0" applyNumberFormat="1" applyFont="1" applyFill="1" applyAlignment="1">
      <alignment horizontal="center"/>
    </xf>
    <xf numFmtId="0" fontId="9" fillId="0" borderId="9" xfId="0" applyFont="1" applyBorder="1"/>
    <xf numFmtId="0" fontId="15" fillId="10" borderId="0" xfId="0" applyFont="1" applyFill="1" applyAlignment="1">
      <alignment horizontal="center"/>
    </xf>
    <xf numFmtId="0" fontId="15" fillId="10" borderId="3" xfId="0" applyFont="1" applyFill="1" applyBorder="1"/>
    <xf numFmtId="0" fontId="15" fillId="0" borderId="17" xfId="0" applyFont="1" applyBorder="1"/>
    <xf numFmtId="9" fontId="33" fillId="0" borderId="0" xfId="2" applyFont="1"/>
    <xf numFmtId="0" fontId="53" fillId="0" borderId="13" xfId="0" applyFont="1" applyBorder="1"/>
    <xf numFmtId="0" fontId="53" fillId="0" borderId="14" xfId="0" applyFont="1" applyBorder="1"/>
    <xf numFmtId="9" fontId="53" fillId="0" borderId="14" xfId="0" applyNumberFormat="1" applyFont="1" applyBorder="1"/>
    <xf numFmtId="0" fontId="53" fillId="0" borderId="15" xfId="0" applyFont="1" applyBorder="1"/>
    <xf numFmtId="0" fontId="53" fillId="0" borderId="6" xfId="0" applyFont="1" applyBorder="1"/>
    <xf numFmtId="0" fontId="53" fillId="0" borderId="0" xfId="0" applyFont="1"/>
    <xf numFmtId="0" fontId="53" fillId="0" borderId="16" xfId="0" applyFont="1" applyBorder="1"/>
    <xf numFmtId="0" fontId="53" fillId="0" borderId="17" xfId="0" applyFont="1" applyBorder="1"/>
    <xf numFmtId="0" fontId="53" fillId="0" borderId="18" xfId="0" applyFont="1" applyBorder="1"/>
    <xf numFmtId="0" fontId="53" fillId="0" borderId="19" xfId="0" applyFont="1" applyBorder="1"/>
    <xf numFmtId="4" fontId="14" fillId="16" borderId="3" xfId="0" applyNumberFormat="1" applyFont="1" applyFill="1" applyBorder="1" applyAlignment="1">
      <alignment horizontal="center"/>
    </xf>
    <xf numFmtId="4" fontId="53" fillId="16" borderId="0" xfId="0" applyNumberFormat="1" applyFont="1" applyFill="1"/>
    <xf numFmtId="1" fontId="14" fillId="0" borderId="0" xfId="0" applyNumberFormat="1" applyFont="1"/>
    <xf numFmtId="3" fontId="14" fillId="3" borderId="0" xfId="0" applyNumberFormat="1" applyFont="1" applyFill="1"/>
    <xf numFmtId="4" fontId="14" fillId="0" borderId="0" xfId="0" applyNumberFormat="1" applyFont="1"/>
    <xf numFmtId="4" fontId="14" fillId="3" borderId="0" xfId="0" applyNumberFormat="1" applyFont="1" applyFill="1"/>
    <xf numFmtId="4" fontId="14" fillId="8" borderId="0" xfId="0" applyNumberFormat="1" applyFont="1" applyFill="1"/>
    <xf numFmtId="0" fontId="15" fillId="3" borderId="0" xfId="0" applyFont="1" applyFill="1" applyAlignment="1">
      <alignment horizontal="center"/>
    </xf>
    <xf numFmtId="14" fontId="8" fillId="0" borderId="17" xfId="0" applyNumberFormat="1" applyFont="1" applyBorder="1"/>
    <xf numFmtId="3" fontId="33" fillId="0" borderId="3" xfId="0" applyNumberFormat="1" applyFont="1" applyBorder="1" applyAlignment="1">
      <alignment horizontal="center"/>
    </xf>
    <xf numFmtId="3" fontId="33" fillId="29" borderId="3" xfId="0" applyNumberFormat="1" applyFont="1" applyFill="1" applyBorder="1" applyAlignment="1">
      <alignment horizontal="center"/>
    </xf>
    <xf numFmtId="0" fontId="39" fillId="0" borderId="11" xfId="0" applyFont="1" applyBorder="1"/>
    <xf numFmtId="3" fontId="8" fillId="3" borderId="9" xfId="0" applyNumberFormat="1" applyFont="1" applyFill="1" applyBorder="1" applyAlignment="1">
      <alignment horizontal="center"/>
    </xf>
    <xf numFmtId="2" fontId="8" fillId="30" borderId="0" xfId="0" applyNumberFormat="1" applyFont="1" applyFill="1"/>
    <xf numFmtId="2" fontId="9" fillId="30" borderId="0" xfId="0" applyNumberFormat="1" applyFont="1" applyFill="1"/>
    <xf numFmtId="3" fontId="38" fillId="0" borderId="3" xfId="0" applyNumberFormat="1" applyFont="1" applyBorder="1" applyAlignment="1">
      <alignment horizontal="center"/>
    </xf>
    <xf numFmtId="10" fontId="6" fillId="0" borderId="0" xfId="0" applyNumberFormat="1" applyFont="1" applyAlignment="1">
      <alignment horizontal="center"/>
    </xf>
    <xf numFmtId="10" fontId="6" fillId="3" borderId="0" xfId="0" applyNumberFormat="1" applyFont="1" applyFill="1"/>
    <xf numFmtId="0" fontId="36" fillId="0" borderId="0" xfId="0" applyFont="1"/>
    <xf numFmtId="0" fontId="56" fillId="0" borderId="0" xfId="0" applyFont="1"/>
    <xf numFmtId="0" fontId="8" fillId="0" borderId="5" xfId="0" applyFont="1" applyBorder="1" applyAlignment="1">
      <alignment horizontal="center"/>
    </xf>
    <xf numFmtId="0" fontId="8" fillId="0" borderId="27" xfId="0" applyFont="1" applyBorder="1" applyAlignment="1">
      <alignment horizontal="center"/>
    </xf>
    <xf numFmtId="0" fontId="8" fillId="0" borderId="33" xfId="0" applyFont="1" applyBorder="1" applyAlignment="1">
      <alignment horizontal="center"/>
    </xf>
    <xf numFmtId="0" fontId="8" fillId="6" borderId="12" xfId="0" applyFont="1" applyFill="1" applyBorder="1" applyAlignment="1">
      <alignment horizontal="center"/>
    </xf>
    <xf numFmtId="0" fontId="8" fillId="6" borderId="34" xfId="0" applyFont="1" applyFill="1" applyBorder="1" applyAlignment="1">
      <alignment horizontal="center"/>
    </xf>
    <xf numFmtId="0" fontId="8" fillId="6" borderId="35" xfId="0" applyFont="1" applyFill="1" applyBorder="1" applyAlignment="1">
      <alignment horizontal="center"/>
    </xf>
    <xf numFmtId="0" fontId="8" fillId="6" borderId="36" xfId="0" applyFont="1" applyFill="1" applyBorder="1" applyAlignment="1">
      <alignment horizontal="center"/>
    </xf>
    <xf numFmtId="0" fontId="8" fillId="20" borderId="32" xfId="0" applyFont="1" applyFill="1" applyBorder="1" applyAlignment="1">
      <alignment horizontal="center"/>
    </xf>
    <xf numFmtId="0" fontId="8" fillId="20" borderId="31" xfId="0" applyFont="1" applyFill="1" applyBorder="1" applyAlignment="1">
      <alignment horizontal="center"/>
    </xf>
    <xf numFmtId="2" fontId="6" fillId="3" borderId="20" xfId="0" applyNumberFormat="1" applyFont="1" applyFill="1" applyBorder="1" applyAlignment="1">
      <alignment horizontal="center"/>
    </xf>
    <xf numFmtId="1" fontId="6" fillId="3" borderId="12" xfId="0" applyNumberFormat="1" applyFont="1" applyFill="1" applyBorder="1" applyAlignment="1">
      <alignment horizontal="center"/>
    </xf>
    <xf numFmtId="2" fontId="6" fillId="3" borderId="12" xfId="0" applyNumberFormat="1" applyFont="1" applyFill="1" applyBorder="1" applyAlignment="1">
      <alignment horizontal="center"/>
    </xf>
    <xf numFmtId="14" fontId="8" fillId="0" borderId="6" xfId="0" applyNumberFormat="1" applyFont="1" applyBorder="1"/>
    <xf numFmtId="2" fontId="8" fillId="0" borderId="0" xfId="0" applyNumberFormat="1" applyFont="1"/>
    <xf numFmtId="0" fontId="8" fillId="0" borderId="0" xfId="0" applyFont="1" applyAlignment="1">
      <alignment horizontal="right"/>
    </xf>
    <xf numFmtId="0" fontId="10" fillId="0" borderId="0" xfId="0" applyFont="1" applyAlignment="1">
      <alignment horizontal="right"/>
    </xf>
    <xf numFmtId="0" fontId="10" fillId="0" borderId="11" xfId="0" applyFont="1" applyBorder="1"/>
    <xf numFmtId="0" fontId="13" fillId="0" borderId="0" xfId="0" quotePrefix="1" applyFont="1"/>
    <xf numFmtId="0" fontId="8" fillId="0" borderId="26" xfId="0" applyFont="1" applyBorder="1" applyAlignment="1">
      <alignment horizontal="center"/>
    </xf>
    <xf numFmtId="0" fontId="54" fillId="0" borderId="0" xfId="0" applyFont="1" applyAlignment="1">
      <alignment horizontal="center"/>
    </xf>
    <xf numFmtId="10" fontId="54" fillId="0" borderId="0" xfId="0" applyNumberFormat="1" applyFont="1" applyAlignment="1">
      <alignment horizontal="center"/>
    </xf>
    <xf numFmtId="10" fontId="10" fillId="0" borderId="0" xfId="0" applyNumberFormat="1" applyFont="1" applyAlignment="1">
      <alignment horizontal="center"/>
    </xf>
    <xf numFmtId="0" fontId="6" fillId="29" borderId="3" xfId="0" applyFont="1" applyFill="1" applyBorder="1" applyAlignment="1">
      <alignment horizontal="center" wrapText="1"/>
    </xf>
    <xf numFmtId="2" fontId="6" fillId="29" borderId="3" xfId="0" applyNumberFormat="1" applyFont="1" applyFill="1" applyBorder="1" applyAlignment="1">
      <alignment horizontal="center"/>
    </xf>
    <xf numFmtId="0" fontId="6" fillId="29" borderId="3" xfId="0" applyFont="1" applyFill="1" applyBorder="1" applyAlignment="1">
      <alignment horizontal="center"/>
    </xf>
    <xf numFmtId="16" fontId="8" fillId="0" borderId="0" xfId="0" applyNumberFormat="1" applyFont="1" applyAlignment="1">
      <alignment horizontal="center"/>
    </xf>
    <xf numFmtId="169" fontId="8" fillId="0" borderId="0" xfId="2" applyNumberFormat="1" applyFont="1" applyAlignment="1">
      <alignment horizontal="center"/>
    </xf>
    <xf numFmtId="4" fontId="8" fillId="3" borderId="0" xfId="0" applyNumberFormat="1" applyFont="1" applyFill="1" applyAlignment="1">
      <alignment horizontal="center"/>
    </xf>
    <xf numFmtId="4" fontId="8" fillId="29" borderId="0" xfId="0" applyNumberFormat="1" applyFont="1" applyFill="1" applyAlignment="1">
      <alignment horizontal="center"/>
    </xf>
    <xf numFmtId="4" fontId="8" fillId="16" borderId="0" xfId="0" applyNumberFormat="1" applyFont="1" applyFill="1" applyAlignment="1">
      <alignment horizontal="center"/>
    </xf>
    <xf numFmtId="37" fontId="8" fillId="0" borderId="0" xfId="0" applyNumberFormat="1" applyFont="1"/>
    <xf numFmtId="37" fontId="8" fillId="0" borderId="0" xfId="0" applyNumberFormat="1" applyFont="1" applyAlignment="1">
      <alignment horizontal="center"/>
    </xf>
    <xf numFmtId="172" fontId="8" fillId="0" borderId="0" xfId="0" applyNumberFormat="1" applyFont="1" applyAlignment="1">
      <alignment horizontal="center"/>
    </xf>
    <xf numFmtId="3" fontId="8" fillId="12" borderId="0" xfId="0" applyNumberFormat="1" applyFont="1" applyFill="1" applyAlignment="1">
      <alignment horizontal="center"/>
    </xf>
    <xf numFmtId="0" fontId="6" fillId="0" borderId="0" xfId="0" quotePrefix="1" applyFont="1" applyAlignment="1">
      <alignment horizontal="center"/>
    </xf>
    <xf numFmtId="0" fontId="6" fillId="16" borderId="0" xfId="0" applyFont="1" applyFill="1"/>
    <xf numFmtId="0" fontId="8" fillId="10" borderId="0" xfId="0" applyFont="1" applyFill="1"/>
    <xf numFmtId="0" fontId="9" fillId="10" borderId="0" xfId="0" applyFont="1" applyFill="1"/>
    <xf numFmtId="0" fontId="8" fillId="3" borderId="28" xfId="0" applyFont="1" applyFill="1" applyBorder="1" applyAlignment="1">
      <alignment horizontal="center"/>
    </xf>
    <xf numFmtId="0" fontId="8" fillId="3" borderId="0" xfId="0" applyFont="1" applyFill="1" applyAlignment="1">
      <alignment horizontal="center"/>
    </xf>
    <xf numFmtId="0" fontId="6" fillId="0" borderId="14" xfId="0" applyFont="1" applyBorder="1"/>
    <xf numFmtId="0" fontId="35" fillId="8" borderId="0" xfId="0" applyFont="1" applyFill="1"/>
    <xf numFmtId="0" fontId="57" fillId="8" borderId="0" xfId="0" applyFont="1" applyFill="1"/>
    <xf numFmtId="3" fontId="9" fillId="3" borderId="12" xfId="0" applyNumberFormat="1" applyFont="1" applyFill="1" applyBorder="1" applyAlignment="1">
      <alignment horizontal="center"/>
    </xf>
    <xf numFmtId="1" fontId="36" fillId="3" borderId="12" xfId="0" applyNumberFormat="1" applyFont="1" applyFill="1" applyBorder="1" applyAlignment="1">
      <alignment horizontal="center"/>
    </xf>
    <xf numFmtId="169" fontId="6" fillId="0" borderId="0" xfId="0" applyNumberFormat="1" applyFont="1" applyAlignment="1">
      <alignment horizontal="center"/>
    </xf>
    <xf numFmtId="3" fontId="6" fillId="9" borderId="0" xfId="0" applyNumberFormat="1" applyFont="1" applyFill="1" applyAlignment="1">
      <alignment horizontal="center"/>
    </xf>
    <xf numFmtId="3" fontId="6" fillId="3" borderId="12" xfId="0" applyNumberFormat="1" applyFont="1" applyFill="1" applyBorder="1" applyAlignment="1">
      <alignment horizontal="center"/>
    </xf>
    <xf numFmtId="0" fontId="3" fillId="0" borderId="20" xfId="0" applyFont="1" applyBorder="1" applyAlignment="1">
      <alignment horizontal="center"/>
    </xf>
    <xf numFmtId="0" fontId="3" fillId="0" borderId="21" xfId="0" applyFont="1" applyBorder="1" applyAlignment="1">
      <alignment horizontal="center"/>
    </xf>
    <xf numFmtId="0" fontId="3" fillId="0" borderId="22" xfId="0" applyFont="1" applyBorder="1" applyAlignment="1">
      <alignment horizontal="center"/>
    </xf>
    <xf numFmtId="0" fontId="9" fillId="0" borderId="10" xfId="0" applyFont="1" applyBorder="1"/>
    <xf numFmtId="2" fontId="33" fillId="3" borderId="0" xfId="0" applyNumberFormat="1" applyFont="1" applyFill="1" applyAlignment="1">
      <alignment horizontal="center"/>
    </xf>
    <xf numFmtId="0" fontId="59" fillId="0" borderId="0" xfId="0" applyFont="1" applyAlignment="1">
      <alignment horizontal="center"/>
    </xf>
    <xf numFmtId="0" fontId="15" fillId="0" borderId="14" xfId="0" applyFont="1" applyBorder="1"/>
    <xf numFmtId="0" fontId="15" fillId="0" borderId="15" xfId="0" applyFont="1" applyBorder="1"/>
    <xf numFmtId="0" fontId="15" fillId="0" borderId="18" xfId="0" applyFont="1" applyBorder="1"/>
    <xf numFmtId="0" fontId="15" fillId="0" borderId="19" xfId="0" applyFont="1" applyBorder="1"/>
    <xf numFmtId="0" fontId="14" fillId="3" borderId="11" xfId="0" applyFont="1" applyFill="1" applyBorder="1" applyAlignment="1">
      <alignment horizontal="center"/>
    </xf>
    <xf numFmtId="0" fontId="14" fillId="7" borderId="0" xfId="0" applyFont="1" applyFill="1" applyAlignment="1">
      <alignment horizontal="center"/>
    </xf>
    <xf numFmtId="0" fontId="17" fillId="7" borderId="11" xfId="0" applyFont="1" applyFill="1" applyBorder="1" applyAlignment="1">
      <alignment horizontal="center"/>
    </xf>
    <xf numFmtId="0" fontId="39" fillId="0" borderId="0" xfId="0" applyFont="1" applyAlignment="1">
      <alignment horizontal="center"/>
    </xf>
    <xf numFmtId="0" fontId="14" fillId="9" borderId="11" xfId="0" applyFont="1" applyFill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8" fillId="0" borderId="11" xfId="0" applyFont="1" applyBorder="1" applyAlignment="1">
      <alignment horizontal="center"/>
    </xf>
    <xf numFmtId="0" fontId="20" fillId="0" borderId="11" xfId="0" applyFont="1" applyBorder="1" applyAlignment="1">
      <alignment horizontal="center"/>
    </xf>
    <xf numFmtId="0" fontId="20" fillId="0" borderId="0" xfId="0" applyFont="1" applyAlignment="1">
      <alignment horizontal="center"/>
    </xf>
    <xf numFmtId="0" fontId="60" fillId="0" borderId="0" xfId="0" applyFont="1"/>
    <xf numFmtId="0" fontId="24" fillId="0" borderId="0" xfId="0" applyFont="1"/>
    <xf numFmtId="0" fontId="33" fillId="0" borderId="11" xfId="0" applyFont="1" applyBorder="1" applyAlignment="1">
      <alignment horizontal="center"/>
    </xf>
    <xf numFmtId="3" fontId="38" fillId="0" borderId="0" xfId="0" applyNumberFormat="1" applyFont="1" applyAlignment="1">
      <alignment horizontal="center"/>
    </xf>
    <xf numFmtId="3" fontId="61" fillId="0" borderId="0" xfId="0" applyNumberFormat="1" applyFont="1" applyAlignment="1">
      <alignment horizontal="center"/>
    </xf>
    <xf numFmtId="4" fontId="61" fillId="0" borderId="0" xfId="0" applyNumberFormat="1" applyFont="1" applyAlignment="1">
      <alignment horizontal="center"/>
    </xf>
    <xf numFmtId="173" fontId="33" fillId="3" borderId="0" xfId="2" applyNumberFormat="1" applyFont="1" applyFill="1"/>
    <xf numFmtId="9" fontId="33" fillId="3" borderId="0" xfId="2" applyFont="1" applyFill="1" applyAlignment="1">
      <alignment horizontal="center"/>
    </xf>
    <xf numFmtId="0" fontId="24" fillId="0" borderId="0" xfId="0" applyFont="1" applyAlignment="1">
      <alignment horizontal="center"/>
    </xf>
    <xf numFmtId="0" fontId="14" fillId="0" borderId="6" xfId="0" applyFont="1" applyBorder="1" applyAlignment="1">
      <alignment horizontal="center"/>
    </xf>
    <xf numFmtId="0" fontId="19" fillId="0" borderId="13" xfId="0" applyFont="1" applyBorder="1"/>
    <xf numFmtId="0" fontId="19" fillId="0" borderId="14" xfId="0" applyFont="1" applyBorder="1"/>
    <xf numFmtId="0" fontId="19" fillId="0" borderId="15" xfId="0" applyFont="1" applyBorder="1"/>
    <xf numFmtId="0" fontId="19" fillId="0" borderId="6" xfId="0" applyFont="1" applyBorder="1"/>
    <xf numFmtId="0" fontId="19" fillId="0" borderId="16" xfId="0" applyFont="1" applyBorder="1"/>
    <xf numFmtId="0" fontId="19" fillId="0" borderId="17" xfId="0" applyFont="1" applyBorder="1"/>
    <xf numFmtId="0" fontId="19" fillId="0" borderId="18" xfId="0" applyFont="1" applyBorder="1"/>
    <xf numFmtId="0" fontId="19" fillId="0" borderId="19" xfId="0" applyFont="1" applyBorder="1"/>
    <xf numFmtId="172" fontId="14" fillId="3" borderId="0" xfId="2" applyNumberFormat="1" applyFont="1" applyFill="1"/>
    <xf numFmtId="0" fontId="6" fillId="0" borderId="11" xfId="0" applyFont="1" applyBorder="1" applyAlignment="1">
      <alignment horizontal="center" vertical="center"/>
    </xf>
    <xf numFmtId="3" fontId="6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38" fillId="0" borderId="0" xfId="0" applyFont="1"/>
    <xf numFmtId="0" fontId="38" fillId="0" borderId="20" xfId="0" applyFont="1" applyBorder="1" applyAlignment="1">
      <alignment horizontal="center"/>
    </xf>
    <xf numFmtId="0" fontId="25" fillId="0" borderId="0" xfId="0" quotePrefix="1" applyFont="1"/>
    <xf numFmtId="10" fontId="9" fillId="9" borderId="0" xfId="2" applyNumberFormat="1" applyFont="1" applyFill="1"/>
    <xf numFmtId="0" fontId="15" fillId="29" borderId="0" xfId="0" applyFont="1" applyFill="1"/>
    <xf numFmtId="0" fontId="14" fillId="29" borderId="0" xfId="0" applyFont="1" applyFill="1"/>
    <xf numFmtId="2" fontId="33" fillId="10" borderId="0" xfId="0" applyNumberFormat="1" applyFont="1" applyFill="1" applyAlignment="1">
      <alignment horizontal="center"/>
    </xf>
    <xf numFmtId="0" fontId="14" fillId="0" borderId="10" xfId="0" applyFont="1" applyBorder="1" applyAlignment="1">
      <alignment horizontal="center"/>
    </xf>
    <xf numFmtId="0" fontId="33" fillId="0" borderId="8" xfId="0" applyFont="1" applyBorder="1" applyAlignment="1">
      <alignment horizontal="center"/>
    </xf>
    <xf numFmtId="0" fontId="33" fillId="0" borderId="9" xfId="0" applyFont="1" applyBorder="1"/>
    <xf numFmtId="0" fontId="33" fillId="0" borderId="10" xfId="0" applyFont="1" applyBorder="1" applyAlignment="1">
      <alignment horizontal="center"/>
    </xf>
    <xf numFmtId="0" fontId="14" fillId="26" borderId="0" xfId="0" applyFont="1" applyFill="1"/>
    <xf numFmtId="0" fontId="48" fillId="0" borderId="0" xfId="0" applyFont="1"/>
    <xf numFmtId="2" fontId="14" fillId="27" borderId="0" xfId="0" applyNumberFormat="1" applyFont="1" applyFill="1" applyAlignment="1">
      <alignment horizontal="center"/>
    </xf>
    <xf numFmtId="0" fontId="14" fillId="0" borderId="18" xfId="0" applyFont="1" applyBorder="1" applyAlignment="1">
      <alignment horizontal="right"/>
    </xf>
    <xf numFmtId="0" fontId="15" fillId="8" borderId="0" xfId="0" applyFont="1" applyFill="1" applyAlignment="1">
      <alignment horizontal="center"/>
    </xf>
    <xf numFmtId="0" fontId="15" fillId="8" borderId="3" xfId="0" applyFont="1" applyFill="1" applyBorder="1"/>
    <xf numFmtId="0" fontId="15" fillId="3" borderId="3" xfId="0" applyFont="1" applyFill="1" applyBorder="1"/>
    <xf numFmtId="0" fontId="15" fillId="16" borderId="0" xfId="0" applyFont="1" applyFill="1" applyAlignment="1">
      <alignment horizontal="center"/>
    </xf>
    <xf numFmtId="0" fontId="15" fillId="16" borderId="3" xfId="0" applyFont="1" applyFill="1" applyBorder="1"/>
    <xf numFmtId="0" fontId="14" fillId="0" borderId="9" xfId="0" applyFont="1" applyBorder="1" applyAlignment="1">
      <alignment horizontal="center"/>
    </xf>
    <xf numFmtId="0" fontId="15" fillId="0" borderId="9" xfId="0" applyFont="1" applyBorder="1"/>
    <xf numFmtId="0" fontId="15" fillId="0" borderId="9" xfId="0" applyFont="1" applyBorder="1" applyAlignment="1">
      <alignment horizontal="center"/>
    </xf>
    <xf numFmtId="0" fontId="15" fillId="0" borderId="10" xfId="0" applyFont="1" applyBorder="1"/>
    <xf numFmtId="4" fontId="15" fillId="3" borderId="0" xfId="0" applyNumberFormat="1" applyFont="1" applyFill="1"/>
    <xf numFmtId="0" fontId="24" fillId="15" borderId="3" xfId="0" applyFont="1" applyFill="1" applyBorder="1"/>
    <xf numFmtId="3" fontId="33" fillId="3" borderId="3" xfId="0" applyNumberFormat="1" applyFont="1" applyFill="1" applyBorder="1" applyAlignment="1">
      <alignment horizontal="center"/>
    </xf>
    <xf numFmtId="9" fontId="6" fillId="0" borderId="0" xfId="2" applyFont="1" applyAlignment="1">
      <alignment horizontal="center"/>
    </xf>
    <xf numFmtId="3" fontId="6" fillId="30" borderId="0" xfId="0" applyNumberFormat="1" applyFont="1" applyFill="1" applyAlignment="1">
      <alignment horizontal="center"/>
    </xf>
    <xf numFmtId="0" fontId="22" fillId="17" borderId="0" xfId="0" applyFont="1" applyFill="1"/>
    <xf numFmtId="0" fontId="29" fillId="0" borderId="0" xfId="0" applyFont="1"/>
    <xf numFmtId="172" fontId="8" fillId="0" borderId="0" xfId="2" applyNumberFormat="1" applyFont="1" applyBorder="1"/>
    <xf numFmtId="1" fontId="8" fillId="3" borderId="0" xfId="0" applyNumberFormat="1" applyFont="1" applyFill="1"/>
    <xf numFmtId="1" fontId="36" fillId="0" borderId="0" xfId="0" applyNumberFormat="1" applyFont="1"/>
    <xf numFmtId="0" fontId="62" fillId="0" borderId="0" xfId="0" applyFont="1"/>
    <xf numFmtId="9" fontId="8" fillId="0" borderId="0" xfId="2" applyFont="1"/>
    <xf numFmtId="166" fontId="8" fillId="3" borderId="12" xfId="0" applyNumberFormat="1" applyFont="1" applyFill="1" applyBorder="1"/>
    <xf numFmtId="173" fontId="8" fillId="3" borderId="0" xfId="0" applyNumberFormat="1" applyFont="1" applyFill="1"/>
    <xf numFmtId="178" fontId="8" fillId="3" borderId="12" xfId="2" applyNumberFormat="1" applyFont="1" applyFill="1" applyBorder="1"/>
    <xf numFmtId="3" fontId="9" fillId="3" borderId="0" xfId="0" applyNumberFormat="1" applyFont="1" applyFill="1" applyAlignment="1">
      <alignment horizontal="center"/>
    </xf>
    <xf numFmtId="174" fontId="8" fillId="3" borderId="0" xfId="0" applyNumberFormat="1" applyFont="1" applyFill="1" applyAlignment="1">
      <alignment horizontal="center"/>
    </xf>
    <xf numFmtId="173" fontId="3" fillId="0" borderId="0" xfId="2" applyNumberFormat="1" applyFont="1" applyAlignment="1">
      <alignment horizontal="center"/>
    </xf>
    <xf numFmtId="8" fontId="2" fillId="0" borderId="12" xfId="0" applyNumberFormat="1" applyFont="1" applyBorder="1" applyAlignment="1">
      <alignment horizontal="center"/>
    </xf>
    <xf numFmtId="8" fontId="3" fillId="0" borderId="12" xfId="0" applyNumberFormat="1" applyFont="1" applyBorder="1" applyAlignment="1">
      <alignment horizontal="center"/>
    </xf>
    <xf numFmtId="0" fontId="3" fillId="8" borderId="0" xfId="0" applyFont="1" applyFill="1" applyAlignment="1">
      <alignment horizontal="center" wrapText="1"/>
    </xf>
    <xf numFmtId="2" fontId="3" fillId="8" borderId="12" xfId="0" applyNumberFormat="1" applyFont="1" applyFill="1" applyBorder="1" applyAlignment="1">
      <alignment horizontal="center"/>
    </xf>
    <xf numFmtId="2" fontId="65" fillId="27" borderId="12" xfId="0" applyNumberFormat="1" applyFont="1" applyFill="1" applyBorder="1" applyAlignment="1">
      <alignment horizontal="center"/>
    </xf>
    <xf numFmtId="4" fontId="3" fillId="27" borderId="6" xfId="0" applyNumberFormat="1" applyFont="1" applyFill="1" applyBorder="1" applyAlignment="1">
      <alignment horizontal="center"/>
    </xf>
    <xf numFmtId="8" fontId="6" fillId="3" borderId="0" xfId="0" applyNumberFormat="1" applyFont="1" applyFill="1" applyAlignment="1">
      <alignment horizontal="center"/>
    </xf>
    <xf numFmtId="0" fontId="45" fillId="0" borderId="0" xfId="0" applyFont="1" applyAlignment="1">
      <alignment horizontal="center"/>
    </xf>
    <xf numFmtId="10" fontId="6" fillId="3" borderId="0" xfId="0" applyNumberFormat="1" applyFont="1" applyFill="1" applyAlignment="1">
      <alignment horizontal="center"/>
    </xf>
    <xf numFmtId="172" fontId="8" fillId="6" borderId="0" xfId="0" applyNumberFormat="1" applyFont="1" applyFill="1" applyAlignment="1">
      <alignment horizontal="center"/>
    </xf>
    <xf numFmtId="2" fontId="14" fillId="0" borderId="0" xfId="0" applyNumberFormat="1" applyFont="1" applyAlignment="1">
      <alignment horizontal="center"/>
    </xf>
    <xf numFmtId="0" fontId="14" fillId="31" borderId="0" xfId="0" applyFont="1" applyFill="1"/>
    <xf numFmtId="0" fontId="14" fillId="31" borderId="0" xfId="0" applyFont="1" applyFill="1" applyAlignment="1">
      <alignment horizontal="center"/>
    </xf>
    <xf numFmtId="2" fontId="33" fillId="0" borderId="0" xfId="0" applyNumberFormat="1" applyFont="1" applyAlignment="1">
      <alignment horizontal="center"/>
    </xf>
    <xf numFmtId="10" fontId="33" fillId="0" borderId="0" xfId="0" applyNumberFormat="1" applyFont="1" applyAlignment="1">
      <alignment horizontal="center"/>
    </xf>
    <xf numFmtId="2" fontId="33" fillId="3" borderId="12" xfId="0" applyNumberFormat="1" applyFont="1" applyFill="1" applyBorder="1" applyAlignment="1">
      <alignment horizontal="center"/>
    </xf>
    <xf numFmtId="0" fontId="14" fillId="9" borderId="0" xfId="0" applyFont="1" applyFill="1"/>
    <xf numFmtId="169" fontId="14" fillId="0" borderId="0" xfId="2" applyNumberFormat="1" applyFont="1"/>
    <xf numFmtId="0" fontId="17" fillId="0" borderId="0" xfId="0" applyFont="1"/>
    <xf numFmtId="173" fontId="14" fillId="0" borderId="0" xfId="2" applyNumberFormat="1" applyFont="1"/>
    <xf numFmtId="0" fontId="17" fillId="9" borderId="0" xfId="0" applyFont="1" applyFill="1"/>
    <xf numFmtId="2" fontId="14" fillId="9" borderId="0" xfId="0" applyNumberFormat="1" applyFont="1" applyFill="1"/>
    <xf numFmtId="0" fontId="34" fillId="0" borderId="0" xfId="0" applyFont="1"/>
    <xf numFmtId="0" fontId="33" fillId="0" borderId="0" xfId="0" applyFont="1" applyAlignment="1">
      <alignment horizontal="left"/>
    </xf>
    <xf numFmtId="0" fontId="33" fillId="3" borderId="12" xfId="0" applyFont="1" applyFill="1" applyBorder="1" applyAlignment="1">
      <alignment horizontal="center"/>
    </xf>
    <xf numFmtId="0" fontId="14" fillId="25" borderId="0" xfId="0" applyFont="1" applyFill="1"/>
    <xf numFmtId="10" fontId="14" fillId="0" borderId="0" xfId="2" applyNumberFormat="1" applyFont="1"/>
    <xf numFmtId="172" fontId="14" fillId="14" borderId="0" xfId="2" applyNumberFormat="1" applyFont="1" applyFill="1" applyAlignment="1">
      <alignment horizontal="center"/>
    </xf>
    <xf numFmtId="0" fontId="15" fillId="25" borderId="0" xfId="0" applyFont="1" applyFill="1"/>
    <xf numFmtId="10" fontId="24" fillId="0" borderId="0" xfId="2" applyNumberFormat="1" applyFont="1" applyAlignment="1">
      <alignment horizontal="center"/>
    </xf>
    <xf numFmtId="2" fontId="33" fillId="16" borderId="0" xfId="0" applyNumberFormat="1" applyFont="1" applyFill="1" applyAlignment="1">
      <alignment horizontal="center"/>
    </xf>
    <xf numFmtId="0" fontId="14" fillId="15" borderId="0" xfId="0" applyFont="1" applyFill="1"/>
    <xf numFmtId="0" fontId="15" fillId="0" borderId="3" xfId="0" applyFont="1" applyBorder="1" applyAlignment="1">
      <alignment horizontal="center"/>
    </xf>
    <xf numFmtId="0" fontId="15" fillId="8" borderId="3" xfId="0" applyFont="1" applyFill="1" applyBorder="1" applyAlignment="1">
      <alignment horizontal="center"/>
    </xf>
    <xf numFmtId="0" fontId="15" fillId="16" borderId="3" xfId="0" applyFont="1" applyFill="1" applyBorder="1" applyAlignment="1">
      <alignment horizontal="center"/>
    </xf>
    <xf numFmtId="0" fontId="14" fillId="15" borderId="0" xfId="0" applyFont="1" applyFill="1" applyAlignment="1">
      <alignment horizontal="center"/>
    </xf>
    <xf numFmtId="174" fontId="14" fillId="0" borderId="0" xfId="2" applyNumberFormat="1" applyFont="1"/>
    <xf numFmtId="0" fontId="9" fillId="0" borderId="24" xfId="0" applyFont="1" applyBorder="1"/>
    <xf numFmtId="0" fontId="9" fillId="0" borderId="23" xfId="0" applyFont="1" applyBorder="1"/>
    <xf numFmtId="0" fontId="9" fillId="0" borderId="25" xfId="0" applyFont="1" applyBorder="1"/>
    <xf numFmtId="0" fontId="9" fillId="0" borderId="26" xfId="0" applyFont="1" applyBorder="1"/>
    <xf numFmtId="0" fontId="9" fillId="0" borderId="11" xfId="0" applyFont="1" applyBorder="1"/>
    <xf numFmtId="0" fontId="9" fillId="0" borderId="27" xfId="0" applyFont="1" applyBorder="1"/>
    <xf numFmtId="0" fontId="66" fillId="0" borderId="0" xfId="0" applyFont="1" applyAlignment="1">
      <alignment horizontal="center"/>
    </xf>
    <xf numFmtId="0" fontId="66" fillId="0" borderId="11" xfId="0" applyFont="1" applyBorder="1" applyAlignment="1">
      <alignment horizontal="center"/>
    </xf>
    <xf numFmtId="0" fontId="66" fillId="0" borderId="0" xfId="0" applyFont="1" applyAlignment="1">
      <alignment horizontal="right"/>
    </xf>
    <xf numFmtId="0" fontId="8" fillId="0" borderId="0" xfId="0" applyFont="1" applyAlignment="1">
      <alignment horizontal="left"/>
    </xf>
    <xf numFmtId="0" fontId="8" fillId="31" borderId="0" xfId="0" applyFont="1" applyFill="1"/>
    <xf numFmtId="178" fontId="8" fillId="0" borderId="0" xfId="2" applyNumberFormat="1" applyFont="1"/>
    <xf numFmtId="178" fontId="8" fillId="0" borderId="0" xfId="0" applyNumberFormat="1" applyFont="1"/>
    <xf numFmtId="2" fontId="8" fillId="3" borderId="0" xfId="0" applyNumberFormat="1" applyFont="1" applyFill="1"/>
    <xf numFmtId="166" fontId="8" fillId="3" borderId="0" xfId="1" applyFont="1" applyFill="1" applyAlignment="1">
      <alignment horizontal="center"/>
    </xf>
    <xf numFmtId="0" fontId="8" fillId="0" borderId="11" xfId="0" applyFont="1" applyBorder="1" applyAlignment="1">
      <alignment horizontal="center" wrapText="1"/>
    </xf>
    <xf numFmtId="2" fontId="8" fillId="10" borderId="0" xfId="0" applyNumberFormat="1" applyFont="1" applyFill="1" applyAlignment="1">
      <alignment horizontal="center"/>
    </xf>
    <xf numFmtId="2" fontId="8" fillId="16" borderId="0" xfId="0" applyNumberFormat="1" applyFont="1" applyFill="1" applyAlignment="1">
      <alignment horizontal="center"/>
    </xf>
    <xf numFmtId="2" fontId="9" fillId="3" borderId="0" xfId="0" applyNumberFormat="1" applyFont="1" applyFill="1" applyAlignment="1">
      <alignment horizontal="center"/>
    </xf>
    <xf numFmtId="0" fontId="8" fillId="20" borderId="0" xfId="0" applyFont="1" applyFill="1"/>
    <xf numFmtId="176" fontId="8" fillId="3" borderId="0" xfId="0" applyNumberFormat="1" applyFont="1" applyFill="1"/>
    <xf numFmtId="176" fontId="8" fillId="0" borderId="0" xfId="0" applyNumberFormat="1" applyFont="1"/>
    <xf numFmtId="176" fontId="8" fillId="16" borderId="0" xfId="0" applyNumberFormat="1" applyFont="1" applyFill="1"/>
    <xf numFmtId="166" fontId="8" fillId="0" borderId="0" xfId="1" applyFont="1" applyFill="1"/>
    <xf numFmtId="10" fontId="8" fillId="0" borderId="0" xfId="0" applyNumberFormat="1" applyFont="1" applyAlignment="1">
      <alignment horizontal="right"/>
    </xf>
    <xf numFmtId="0" fontId="67" fillId="0" borderId="0" xfId="0" applyFont="1"/>
    <xf numFmtId="0" fontId="8" fillId="0" borderId="0" xfId="0" applyFont="1" applyAlignment="1">
      <alignment horizontal="center"/>
    </xf>
    <xf numFmtId="165" fontId="3" fillId="0" borderId="0" xfId="0" applyNumberFormat="1" applyFont="1" applyAlignment="1">
      <alignment horizontal="center"/>
    </xf>
    <xf numFmtId="165" fontId="2" fillId="2" borderId="0" xfId="0" applyNumberFormat="1" applyFont="1" applyFill="1" applyAlignment="1">
      <alignment horizontal="center"/>
    </xf>
    <xf numFmtId="165" fontId="2" fillId="2" borderId="2" xfId="0" applyNumberFormat="1" applyFont="1" applyFill="1" applyBorder="1" applyAlignment="1">
      <alignment horizontal="center"/>
    </xf>
    <xf numFmtId="0" fontId="3" fillId="9" borderId="0" xfId="0" applyFont="1" applyFill="1" applyAlignment="1">
      <alignment horizontal="right"/>
    </xf>
    <xf numFmtId="4" fontId="3" fillId="0" borderId="14" xfId="0" applyNumberFormat="1" applyFont="1" applyBorder="1" applyAlignment="1">
      <alignment horizontal="center"/>
    </xf>
    <xf numFmtId="0" fontId="2" fillId="6" borderId="0" xfId="0" applyFont="1" applyFill="1" applyAlignment="1">
      <alignment horizontal="center"/>
    </xf>
    <xf numFmtId="165" fontId="2" fillId="0" borderId="0" xfId="0" applyNumberFormat="1" applyFont="1" applyAlignment="1">
      <alignment horizontal="center"/>
    </xf>
    <xf numFmtId="0" fontId="9" fillId="5" borderId="0" xfId="0" applyFont="1" applyFill="1" applyAlignment="1">
      <alignment horizontal="center"/>
    </xf>
    <xf numFmtId="0" fontId="33" fillId="9" borderId="21" xfId="0" applyFont="1" applyFill="1" applyBorder="1" applyAlignment="1">
      <alignment horizontal="center" wrapText="1"/>
    </xf>
    <xf numFmtId="0" fontId="33" fillId="9" borderId="21" xfId="0" applyFont="1" applyFill="1" applyBorder="1" applyAlignment="1">
      <alignment horizontal="center"/>
    </xf>
    <xf numFmtId="0" fontId="33" fillId="9" borderId="22" xfId="0" applyFont="1" applyFill="1" applyBorder="1" applyAlignment="1">
      <alignment horizontal="center"/>
    </xf>
    <xf numFmtId="0" fontId="33" fillId="3" borderId="20" xfId="0" applyFont="1" applyFill="1" applyBorder="1" applyAlignment="1">
      <alignment horizontal="center" vertical="center" wrapText="1"/>
    </xf>
    <xf numFmtId="0" fontId="33" fillId="3" borderId="21" xfId="0" applyFont="1" applyFill="1" applyBorder="1" applyAlignment="1">
      <alignment horizontal="center" vertical="center"/>
    </xf>
    <xf numFmtId="0" fontId="33" fillId="3" borderId="22" xfId="0" applyFont="1" applyFill="1" applyBorder="1" applyAlignment="1">
      <alignment horizontal="center" vertical="center"/>
    </xf>
    <xf numFmtId="0" fontId="17" fillId="0" borderId="23" xfId="0" applyFont="1" applyBorder="1" applyAlignment="1">
      <alignment horizontal="center" vertical="center" wrapText="1"/>
    </xf>
    <xf numFmtId="0" fontId="17" fillId="0" borderId="0" xfId="0" applyFont="1" applyAlignment="1">
      <alignment horizontal="center" vertical="center"/>
    </xf>
    <xf numFmtId="0" fontId="22" fillId="5" borderId="0" xfId="0" applyFont="1" applyFill="1" applyAlignment="1">
      <alignment horizontal="center"/>
    </xf>
    <xf numFmtId="0" fontId="14" fillId="0" borderId="0" xfId="0" applyFont="1" applyAlignment="1">
      <alignment horizontal="center"/>
    </xf>
    <xf numFmtId="0" fontId="15" fillId="3" borderId="0" xfId="0" applyFont="1" applyFill="1" applyAlignment="1">
      <alignment horizontal="center"/>
    </xf>
    <xf numFmtId="0" fontId="14" fillId="0" borderId="14" xfId="0" applyFont="1" applyBorder="1" applyAlignment="1">
      <alignment horizontal="center"/>
    </xf>
    <xf numFmtId="10" fontId="14" fillId="0" borderId="0" xfId="2" applyNumberFormat="1" applyFont="1" applyAlignment="1">
      <alignment horizontal="center" vertical="center"/>
    </xf>
    <xf numFmtId="0" fontId="14" fillId="0" borderId="0" xfId="0" applyFont="1" applyAlignment="1">
      <alignment horizontal="center" vertical="center"/>
    </xf>
    <xf numFmtId="173" fontId="14" fillId="0" borderId="0" xfId="0" applyNumberFormat="1" applyFont="1" applyAlignment="1">
      <alignment horizontal="center" vertical="center"/>
    </xf>
    <xf numFmtId="173" fontId="38" fillId="0" borderId="21" xfId="0" applyNumberFormat="1" applyFont="1" applyBorder="1" applyAlignment="1">
      <alignment horizontal="center" vertical="center"/>
    </xf>
    <xf numFmtId="173" fontId="38" fillId="0" borderId="22" xfId="0" applyNumberFormat="1" applyFont="1" applyBorder="1" applyAlignment="1">
      <alignment horizontal="center" vertical="center"/>
    </xf>
    <xf numFmtId="0" fontId="33" fillId="0" borderId="0" xfId="0" applyFont="1" applyAlignment="1">
      <alignment horizontal="center" vertical="center"/>
    </xf>
    <xf numFmtId="172" fontId="14" fillId="14" borderId="0" xfId="2" applyNumberFormat="1" applyFont="1" applyFill="1" applyAlignment="1">
      <alignment horizontal="center" vertical="center"/>
    </xf>
    <xf numFmtId="0" fontId="14" fillId="0" borderId="0" xfId="0" applyFont="1" applyAlignment="1">
      <alignment horizontal="right" readingOrder="2"/>
    </xf>
    <xf numFmtId="37" fontId="8" fillId="3" borderId="0" xfId="0" applyNumberFormat="1" applyFont="1" applyFill="1" applyAlignment="1">
      <alignment horizontal="center" vertical="center"/>
    </xf>
    <xf numFmtId="178" fontId="8" fillId="10" borderId="0" xfId="2" applyNumberFormat="1" applyFont="1" applyFill="1" applyAlignment="1">
      <alignment horizontal="center" vertical="center"/>
    </xf>
    <xf numFmtId="178" fontId="8" fillId="10" borderId="18" xfId="2" applyNumberFormat="1" applyFont="1" applyFill="1" applyBorder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8" fillId="0" borderId="0" xfId="0" applyFont="1" applyAlignment="1">
      <alignment horizontal="center" vertical="center"/>
    </xf>
    <xf numFmtId="0" fontId="14" fillId="0" borderId="13" xfId="0" applyFont="1" applyBorder="1" applyAlignment="1">
      <alignment horizontal="center" wrapText="1"/>
    </xf>
    <xf numFmtId="0" fontId="14" fillId="0" borderId="15" xfId="0" applyFont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0" fontId="14" fillId="0" borderId="19" xfId="0" applyFont="1" applyBorder="1" applyAlignment="1">
      <alignment horizontal="center"/>
    </xf>
    <xf numFmtId="0" fontId="8" fillId="0" borderId="0" xfId="0" applyFont="1" applyBorder="1"/>
    <xf numFmtId="0" fontId="67" fillId="0" borderId="17" xfId="0" applyFont="1" applyBorder="1"/>
    <xf numFmtId="0" fontId="8" fillId="0" borderId="3" xfId="0" applyFont="1" applyBorder="1" applyAlignment="1">
      <alignment horizontal="center" wrapText="1"/>
    </xf>
    <xf numFmtId="0" fontId="8" fillId="0" borderId="0" xfId="0" applyFont="1" applyAlignment="1">
      <alignment horizontal="right"/>
    </xf>
    <xf numFmtId="0" fontId="8" fillId="0" borderId="0" xfId="0" applyFont="1" applyAlignment="1">
      <alignment horizontal="right" wrapText="1"/>
    </xf>
    <xf numFmtId="0" fontId="8" fillId="0" borderId="3" xfId="0" applyFont="1" applyBorder="1" applyAlignment="1">
      <alignment horizontal="right"/>
    </xf>
    <xf numFmtId="0" fontId="8" fillId="15" borderId="3" xfId="0" applyFont="1" applyFill="1" applyBorder="1"/>
    <xf numFmtId="0" fontId="69" fillId="0" borderId="0" xfId="0" applyFont="1"/>
    <xf numFmtId="0" fontId="70" fillId="0" borderId="0" xfId="0" applyFont="1"/>
    <xf numFmtId="0" fontId="68" fillId="0" borderId="0" xfId="0" applyFont="1"/>
    <xf numFmtId="0" fontId="11" fillId="0" borderId="11" xfId="0" applyFont="1" applyBorder="1"/>
    <xf numFmtId="0" fontId="11" fillId="0" borderId="0" xfId="0" applyFont="1"/>
  </cellXfs>
  <cellStyles count="8">
    <cellStyle name="Comma" xfId="1" builtinId="3"/>
    <cellStyle name="Currency 2" xfId="4" xr:uid="{2C3DDEB7-066D-AA4A-8BFD-1D95C12242BD}"/>
    <cellStyle name="Normal" xfId="0" builtinId="0"/>
    <cellStyle name="Normal 2" xfId="3" xr:uid="{2FF78591-BBB2-BD46-97CC-F50CE5C64928}"/>
    <cellStyle name="Normal 3" xfId="6" xr:uid="{37E6EB50-2444-FC40-A897-223541B3A988}"/>
    <cellStyle name="Percent" xfId="2" builtinId="5"/>
    <cellStyle name="Percent 2" xfId="5" xr:uid="{DB7DE0D1-4CB4-FF45-ADC6-BDF84A2933F6}"/>
    <cellStyle name="Percent 2 2" xfId="7" xr:uid="{98821C91-7067-7F4C-AEA4-525FB2E3ADCD}"/>
  </cellStyles>
  <dxfs count="0"/>
  <tableStyles count="1" defaultTableStyle="TableStyleMedium2" defaultPivotStyle="PivotStyleLight16">
    <tableStyle name="Invisible" pivot="0" table="0" count="0" xr9:uid="{42A1BD5A-7159-4740-B113-098AAB2E5951}"/>
  </tableStyles>
  <colors>
    <mruColors>
      <color rgb="FF00FA00"/>
      <color rgb="FFFF8AD8"/>
      <color rgb="FFFF7E79"/>
      <color rgb="FFFF85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microsoft.com/office/2017/10/relationships/person" Target="persons/perso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13" Type="http://schemas.openxmlformats.org/officeDocument/2006/relationships/image" Target="../media/image26.png"/><Relationship Id="rId3" Type="http://schemas.openxmlformats.org/officeDocument/2006/relationships/image" Target="../media/image16.png"/><Relationship Id="rId7" Type="http://schemas.openxmlformats.org/officeDocument/2006/relationships/image" Target="../media/image20.png"/><Relationship Id="rId12" Type="http://schemas.openxmlformats.org/officeDocument/2006/relationships/image" Target="../media/image25.png"/><Relationship Id="rId2" Type="http://schemas.openxmlformats.org/officeDocument/2006/relationships/image" Target="../media/image15.png"/><Relationship Id="rId16" Type="http://schemas.openxmlformats.org/officeDocument/2006/relationships/image" Target="../media/image29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11" Type="http://schemas.openxmlformats.org/officeDocument/2006/relationships/image" Target="../media/image24.png"/><Relationship Id="rId5" Type="http://schemas.openxmlformats.org/officeDocument/2006/relationships/image" Target="../media/image18.png"/><Relationship Id="rId15" Type="http://schemas.openxmlformats.org/officeDocument/2006/relationships/image" Target="../media/image28.png"/><Relationship Id="rId10" Type="http://schemas.openxmlformats.org/officeDocument/2006/relationships/image" Target="../media/image23.png"/><Relationship Id="rId4" Type="http://schemas.openxmlformats.org/officeDocument/2006/relationships/image" Target="../media/image17.png"/><Relationship Id="rId9" Type="http://schemas.openxmlformats.org/officeDocument/2006/relationships/image" Target="../media/image22.png"/><Relationship Id="rId14" Type="http://schemas.openxmlformats.org/officeDocument/2006/relationships/image" Target="../media/image27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jpe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660400</xdr:colOff>
      <xdr:row>66</xdr:row>
      <xdr:rowOff>91440</xdr:rowOff>
    </xdr:from>
    <xdr:to>
      <xdr:col>4</xdr:col>
      <xdr:colOff>50800</xdr:colOff>
      <xdr:row>68</xdr:row>
      <xdr:rowOff>101600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BE3FF9AC-B186-3755-5850-F4BCA0226B09}"/>
            </a:ext>
          </a:extLst>
        </xdr:cNvPr>
        <xdr:cNvCxnSpPr/>
      </xdr:nvCxnSpPr>
      <xdr:spPr>
        <a:xfrm flipV="1">
          <a:off x="13480034000" y="11480800"/>
          <a:ext cx="21336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613833</xdr:colOff>
      <xdr:row>272</xdr:row>
      <xdr:rowOff>135467</xdr:rowOff>
    </xdr:from>
    <xdr:to>
      <xdr:col>7</xdr:col>
      <xdr:colOff>8467</xdr:colOff>
      <xdr:row>272</xdr:row>
      <xdr:rowOff>156633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417FE45-E490-D080-6950-A9931E3CAFFE}"/>
            </a:ext>
          </a:extLst>
        </xdr:cNvPr>
        <xdr:cNvCxnSpPr/>
      </xdr:nvCxnSpPr>
      <xdr:spPr>
        <a:xfrm>
          <a:off x="13519205033" y="15375467"/>
          <a:ext cx="5173134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675821</xdr:colOff>
      <xdr:row>302</xdr:row>
      <xdr:rowOff>135467</xdr:rowOff>
    </xdr:from>
    <xdr:to>
      <xdr:col>7</xdr:col>
      <xdr:colOff>8467</xdr:colOff>
      <xdr:row>302</xdr:row>
      <xdr:rowOff>154214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719560B-3CF7-6A45-98EF-C65761E8D835}"/>
            </a:ext>
          </a:extLst>
        </xdr:cNvPr>
        <xdr:cNvCxnSpPr/>
      </xdr:nvCxnSpPr>
      <xdr:spPr>
        <a:xfrm>
          <a:off x="13519205033" y="20709467"/>
          <a:ext cx="3460146" cy="1874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417286</xdr:colOff>
      <xdr:row>300</xdr:row>
      <xdr:rowOff>121151</xdr:rowOff>
    </xdr:from>
    <xdr:to>
      <xdr:col>6</xdr:col>
      <xdr:colOff>240393</xdr:colOff>
      <xdr:row>301</xdr:row>
      <xdr:rowOff>95250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3B22C4B4-BF9A-4555-383A-C723BAF39E5F}"/>
            </a:ext>
          </a:extLst>
        </xdr:cNvPr>
        <xdr:cNvSpPr/>
      </xdr:nvSpPr>
      <xdr:spPr>
        <a:xfrm>
          <a:off x="13519798607" y="20504651"/>
          <a:ext cx="648607" cy="164599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426357</xdr:colOff>
      <xdr:row>299</xdr:row>
      <xdr:rowOff>136071</xdr:rowOff>
    </xdr:from>
    <xdr:to>
      <xdr:col>5</xdr:col>
      <xdr:colOff>784679</xdr:colOff>
      <xdr:row>300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07A5D9B-E357-6A9A-2CC3-880B4379ACFA}"/>
            </a:ext>
          </a:extLst>
        </xdr:cNvPr>
        <xdr:cNvSpPr/>
      </xdr:nvSpPr>
      <xdr:spPr>
        <a:xfrm>
          <a:off x="13520079821" y="20329071"/>
          <a:ext cx="358322" cy="149679"/>
        </a:xfrm>
        <a:prstGeom prst="rect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10%</a:t>
          </a:r>
          <a:endParaRPr lang="en-US" sz="500"/>
        </a:p>
      </xdr:txBody>
    </xdr:sp>
    <xdr:clientData/>
  </xdr:twoCellAnchor>
  <xdr:twoCellAnchor>
    <xdr:from>
      <xdr:col>4</xdr:col>
      <xdr:colOff>552044</xdr:colOff>
      <xdr:row>300</xdr:row>
      <xdr:rowOff>80315</xdr:rowOff>
    </xdr:from>
    <xdr:to>
      <xdr:col>5</xdr:col>
      <xdr:colOff>375152</xdr:colOff>
      <xdr:row>301</xdr:row>
      <xdr:rowOff>54414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A0A43462-F8F2-1787-83DE-97B0A1288504}"/>
            </a:ext>
          </a:extLst>
        </xdr:cNvPr>
        <xdr:cNvSpPr/>
      </xdr:nvSpPr>
      <xdr:spPr>
        <a:xfrm>
          <a:off x="13510456552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659121</xdr:colOff>
      <xdr:row>299</xdr:row>
      <xdr:rowOff>74817</xdr:rowOff>
    </xdr:from>
    <xdr:to>
      <xdr:col>5</xdr:col>
      <xdr:colOff>192556</xdr:colOff>
      <xdr:row>300</xdr:row>
      <xdr:rowOff>33996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D36BB41-EF63-E487-420D-8DD8733C8B81}"/>
            </a:ext>
          </a:extLst>
        </xdr:cNvPr>
        <xdr:cNvSpPr/>
      </xdr:nvSpPr>
      <xdr:spPr>
        <a:xfrm>
          <a:off x="13510639148" y="20419319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3</xdr:col>
      <xdr:colOff>613299</xdr:colOff>
      <xdr:row>300</xdr:row>
      <xdr:rowOff>80315</xdr:rowOff>
    </xdr:from>
    <xdr:to>
      <xdr:col>4</xdr:col>
      <xdr:colOff>436406</xdr:colOff>
      <xdr:row>301</xdr:row>
      <xdr:rowOff>54414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7145D552-BB2C-3EF8-FBD8-1631EBAF42D6}"/>
            </a:ext>
          </a:extLst>
        </xdr:cNvPr>
        <xdr:cNvSpPr/>
      </xdr:nvSpPr>
      <xdr:spPr>
        <a:xfrm>
          <a:off x="13511220185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748961</xdr:colOff>
      <xdr:row>299</xdr:row>
      <xdr:rowOff>78900</xdr:rowOff>
    </xdr:from>
    <xdr:to>
      <xdr:col>4</xdr:col>
      <xdr:colOff>282395</xdr:colOff>
      <xdr:row>300</xdr:row>
      <xdr:rowOff>38079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8C74F51-B0BC-A655-A2B2-76003C5E3104}"/>
            </a:ext>
          </a:extLst>
        </xdr:cNvPr>
        <xdr:cNvSpPr/>
      </xdr:nvSpPr>
      <xdr:spPr>
        <a:xfrm>
          <a:off x="13511374196" y="20423402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0</xdr:col>
      <xdr:colOff>710546</xdr:colOff>
      <xdr:row>334</xdr:row>
      <xdr:rowOff>102090</xdr:rowOff>
    </xdr:from>
    <xdr:to>
      <xdr:col>6</xdr:col>
      <xdr:colOff>808552</xdr:colOff>
      <xdr:row>334</xdr:row>
      <xdr:rowOff>118425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F4048EE4-1568-E14D-A7A4-A684BF2D4AA7}"/>
            </a:ext>
          </a:extLst>
        </xdr:cNvPr>
        <xdr:cNvCxnSpPr/>
      </xdr:nvCxnSpPr>
      <xdr:spPr>
        <a:xfrm>
          <a:off x="13509198264" y="26204469"/>
          <a:ext cx="5047331" cy="1633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424694</xdr:colOff>
      <xdr:row>332</xdr:row>
      <xdr:rowOff>126354</xdr:rowOff>
    </xdr:from>
    <xdr:to>
      <xdr:col>6</xdr:col>
      <xdr:colOff>408359</xdr:colOff>
      <xdr:row>333</xdr:row>
      <xdr:rowOff>53087</xdr:rowOff>
    </xdr:to>
    <xdr:sp macro="" textlink="">
      <xdr:nvSpPr>
        <xdr:cNvPr id="16" name="Freeform 15">
          <a:extLst>
            <a:ext uri="{FF2B5EF4-FFF2-40B4-BE49-F238E27FC236}">
              <a16:creationId xmlns:a16="http://schemas.microsoft.com/office/drawing/2014/main" id="{CC095524-779B-F92B-1F6D-84C426208F28}"/>
            </a:ext>
          </a:extLst>
        </xdr:cNvPr>
        <xdr:cNvSpPr/>
      </xdr:nvSpPr>
      <xdr:spPr>
        <a:xfrm>
          <a:off x="13509598457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522701</xdr:colOff>
      <xdr:row>331</xdr:row>
      <xdr:rowOff>65337</xdr:rowOff>
    </xdr:from>
    <xdr:to>
      <xdr:col>6</xdr:col>
      <xdr:colOff>257266</xdr:colOff>
      <xdr:row>332</xdr:row>
      <xdr:rowOff>69421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F56F506-E3D9-23A9-5FFE-B9E2C6D4AB64}"/>
            </a:ext>
          </a:extLst>
        </xdr:cNvPr>
        <xdr:cNvSpPr/>
      </xdr:nvSpPr>
      <xdr:spPr>
        <a:xfrm>
          <a:off x="13509749550" y="25591929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4</xdr:col>
      <xdr:colOff>396109</xdr:colOff>
      <xdr:row>332</xdr:row>
      <xdr:rowOff>142689</xdr:rowOff>
    </xdr:from>
    <xdr:to>
      <xdr:col>5</xdr:col>
      <xdr:colOff>379775</xdr:colOff>
      <xdr:row>333</xdr:row>
      <xdr:rowOff>69422</xdr:rowOff>
    </xdr:to>
    <xdr:sp macro="" textlink="">
      <xdr:nvSpPr>
        <xdr:cNvPr id="18" name="Freeform 17">
          <a:extLst>
            <a:ext uri="{FF2B5EF4-FFF2-40B4-BE49-F238E27FC236}">
              <a16:creationId xmlns:a16="http://schemas.microsoft.com/office/drawing/2014/main" id="{12F8D608-2283-EF97-03FB-947535D96046}"/>
            </a:ext>
          </a:extLst>
        </xdr:cNvPr>
        <xdr:cNvSpPr/>
      </xdr:nvSpPr>
      <xdr:spPr>
        <a:xfrm>
          <a:off x="13510451929" y="25861210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490032</xdr:colOff>
      <xdr:row>331</xdr:row>
      <xdr:rowOff>77588</xdr:rowOff>
    </xdr:from>
    <xdr:to>
      <xdr:col>5</xdr:col>
      <xdr:colOff>224598</xdr:colOff>
      <xdr:row>332</xdr:row>
      <xdr:rowOff>81672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22D4EAA6-E03E-2265-04D3-7D55ACF400CF}"/>
            </a:ext>
          </a:extLst>
        </xdr:cNvPr>
        <xdr:cNvSpPr/>
      </xdr:nvSpPr>
      <xdr:spPr>
        <a:xfrm>
          <a:off x="13510607106" y="25604180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3</xdr:col>
      <xdr:colOff>355273</xdr:colOff>
      <xdr:row>332</xdr:row>
      <xdr:rowOff>138605</xdr:rowOff>
    </xdr:from>
    <xdr:to>
      <xdr:col>4</xdr:col>
      <xdr:colOff>338938</xdr:colOff>
      <xdr:row>333</xdr:row>
      <xdr:rowOff>65338</xdr:rowOff>
    </xdr:to>
    <xdr:sp macro="" textlink="">
      <xdr:nvSpPr>
        <xdr:cNvPr id="20" name="Freeform 19">
          <a:extLst>
            <a:ext uri="{FF2B5EF4-FFF2-40B4-BE49-F238E27FC236}">
              <a16:creationId xmlns:a16="http://schemas.microsoft.com/office/drawing/2014/main" id="{8CFE83ED-4138-C749-CA24-9E46F3DF2704}"/>
            </a:ext>
          </a:extLst>
        </xdr:cNvPr>
        <xdr:cNvSpPr/>
      </xdr:nvSpPr>
      <xdr:spPr>
        <a:xfrm>
          <a:off x="13511317653" y="25857126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363440</xdr:colOff>
      <xdr:row>332</xdr:row>
      <xdr:rowOff>126354</xdr:rowOff>
    </xdr:from>
    <xdr:to>
      <xdr:col>3</xdr:col>
      <xdr:colOff>347106</xdr:colOff>
      <xdr:row>333</xdr:row>
      <xdr:rowOff>53087</xdr:rowOff>
    </xdr:to>
    <xdr:sp macro="" textlink="">
      <xdr:nvSpPr>
        <xdr:cNvPr id="21" name="Freeform 20">
          <a:extLst>
            <a:ext uri="{FF2B5EF4-FFF2-40B4-BE49-F238E27FC236}">
              <a16:creationId xmlns:a16="http://schemas.microsoft.com/office/drawing/2014/main" id="{2BE56D37-36CB-895B-497A-B313553B75B8}"/>
            </a:ext>
          </a:extLst>
        </xdr:cNvPr>
        <xdr:cNvSpPr/>
      </xdr:nvSpPr>
      <xdr:spPr>
        <a:xfrm>
          <a:off x="13512134373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420611</xdr:colOff>
      <xdr:row>332</xdr:row>
      <xdr:rowOff>110020</xdr:rowOff>
    </xdr:from>
    <xdr:to>
      <xdr:col>2</xdr:col>
      <xdr:colOff>404276</xdr:colOff>
      <xdr:row>333</xdr:row>
      <xdr:rowOff>36753</xdr:rowOff>
    </xdr:to>
    <xdr:sp macro="" textlink="">
      <xdr:nvSpPr>
        <xdr:cNvPr id="22" name="Freeform 21">
          <a:extLst>
            <a:ext uri="{FF2B5EF4-FFF2-40B4-BE49-F238E27FC236}">
              <a16:creationId xmlns:a16="http://schemas.microsoft.com/office/drawing/2014/main" id="{7F7FCAD4-B655-7908-7AEB-48F3836C3101}"/>
            </a:ext>
          </a:extLst>
        </xdr:cNvPr>
        <xdr:cNvSpPr/>
      </xdr:nvSpPr>
      <xdr:spPr>
        <a:xfrm>
          <a:off x="13512902090" y="25828541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696576</xdr:colOff>
      <xdr:row>409</xdr:row>
      <xdr:rowOff>111606</xdr:rowOff>
    </xdr:from>
    <xdr:to>
      <xdr:col>6</xdr:col>
      <xdr:colOff>108011</xdr:colOff>
      <xdr:row>410</xdr:row>
      <xdr:rowOff>92365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E30FE42-F50B-524E-85B0-CC081824C51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199065</xdr:colOff>
      <xdr:row>470</xdr:row>
      <xdr:rowOff>183873</xdr:rowOff>
    </xdr:from>
    <xdr:to>
      <xdr:col>6</xdr:col>
      <xdr:colOff>157276</xdr:colOff>
      <xdr:row>481</xdr:row>
      <xdr:rowOff>69702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C86F21A-DB75-A2E5-AFF7-DE3B5193F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6380031" y="51471348"/>
          <a:ext cx="1608783" cy="2002494"/>
        </a:xfrm>
        <a:prstGeom prst="rect">
          <a:avLst/>
        </a:prstGeom>
      </xdr:spPr>
    </xdr:pic>
    <xdr:clientData/>
  </xdr:twoCellAnchor>
  <xdr:twoCellAnchor>
    <xdr:from>
      <xdr:col>0</xdr:col>
      <xdr:colOff>397677</xdr:colOff>
      <xdr:row>471</xdr:row>
      <xdr:rowOff>29933</xdr:rowOff>
    </xdr:from>
    <xdr:to>
      <xdr:col>3</xdr:col>
      <xdr:colOff>346364</xdr:colOff>
      <xdr:row>475</xdr:row>
      <xdr:rowOff>158215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6F502AF4-6004-9929-6879-0B9F37956C98}"/>
            </a:ext>
          </a:extLst>
        </xdr:cNvPr>
        <xdr:cNvSpPr/>
      </xdr:nvSpPr>
      <xdr:spPr>
        <a:xfrm>
          <a:off x="13518666801" y="51509832"/>
          <a:ext cx="2424546" cy="897979"/>
        </a:xfrm>
        <a:prstGeom prst="wedgeRoundRectCallout">
          <a:avLst>
            <a:gd name="adj1" fmla="val -79210"/>
            <a:gd name="adj2" fmla="val 5778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הבנתי שי, אתה מחשב ערך עתידי לכל סכום בנפרד,</a:t>
          </a:r>
        </a:p>
        <a:p>
          <a:pPr algn="r" rtl="1"/>
          <a:r>
            <a:rPr lang="he-IL" sz="1100"/>
            <a:t>ומחבר רק בסוף.</a:t>
          </a:r>
        </a:p>
        <a:p>
          <a:pPr algn="r" rtl="1"/>
          <a:r>
            <a:rPr lang="he-IL" sz="1100"/>
            <a:t>יפה</a:t>
          </a:r>
          <a:r>
            <a:rPr lang="he-IL" sz="1100" baseline="0"/>
            <a:t> שייקה יפה כפרה</a:t>
          </a:r>
          <a:endParaRPr lang="en-US" sz="1100"/>
        </a:p>
      </xdr:txBody>
    </xdr:sp>
    <xdr:clientData/>
  </xdr:twoCellAnchor>
  <xdr:twoCellAnchor editAs="oneCell">
    <xdr:from>
      <xdr:col>2</xdr:col>
      <xdr:colOff>669924</xdr:colOff>
      <xdr:row>538</xdr:row>
      <xdr:rowOff>161615</xdr:rowOff>
    </xdr:from>
    <xdr:to>
      <xdr:col>7</xdr:col>
      <xdr:colOff>139572</xdr:colOff>
      <xdr:row>546</xdr:row>
      <xdr:rowOff>52722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E46EC78-9016-8401-3FD7-AC78F8FFE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9073928" y="66709615"/>
          <a:ext cx="3597148" cy="1415109"/>
        </a:xfrm>
        <a:prstGeom prst="rect">
          <a:avLst/>
        </a:prstGeom>
      </xdr:spPr>
    </xdr:pic>
    <xdr:clientData/>
  </xdr:twoCellAnchor>
  <xdr:twoCellAnchor>
    <xdr:from>
      <xdr:col>2</xdr:col>
      <xdr:colOff>616460</xdr:colOff>
      <xdr:row>534</xdr:row>
      <xdr:rowOff>120511</xdr:rowOff>
    </xdr:from>
    <xdr:to>
      <xdr:col>3</xdr:col>
      <xdr:colOff>101971</xdr:colOff>
      <xdr:row>537</xdr:row>
      <xdr:rowOff>88066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199B9116-6C25-AD4C-BEF0-F226AF7BE575}"/>
            </a:ext>
          </a:extLst>
        </xdr:cNvPr>
        <xdr:cNvCxnSpPr/>
      </xdr:nvCxnSpPr>
      <xdr:spPr>
        <a:xfrm flipV="1">
          <a:off x="13518085908" y="41350612"/>
          <a:ext cx="310797" cy="55765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692151</xdr:colOff>
      <xdr:row>272</xdr:row>
      <xdr:rowOff>101600</xdr:rowOff>
    </xdr:from>
    <xdr:to>
      <xdr:col>6</xdr:col>
      <xdr:colOff>79376</xdr:colOff>
      <xdr:row>274</xdr:row>
      <xdr:rowOff>57150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CE87DEC7-8A57-EB7E-F8E7-0FE94A4E279B}"/>
            </a:ext>
          </a:extLst>
        </xdr:cNvPr>
        <xdr:cNvSpPr/>
      </xdr:nvSpPr>
      <xdr:spPr>
        <a:xfrm rot="16200000">
          <a:off x="13521548712" y="14209712"/>
          <a:ext cx="336550" cy="351472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781050</xdr:colOff>
      <xdr:row>280</xdr:row>
      <xdr:rowOff>0</xdr:rowOff>
    </xdr:from>
    <xdr:to>
      <xdr:col>3</xdr:col>
      <xdr:colOff>784225</xdr:colOff>
      <xdr:row>281</xdr:row>
      <xdr:rowOff>53975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3A26889C-EDC2-66AC-E17D-2482C755284A}"/>
            </a:ext>
          </a:extLst>
        </xdr:cNvPr>
        <xdr:cNvCxnSpPr/>
      </xdr:nvCxnSpPr>
      <xdr:spPr>
        <a:xfrm flipH="1">
          <a:off x="13521731275" y="17221200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142875</xdr:colOff>
      <xdr:row>279</xdr:row>
      <xdr:rowOff>187325</xdr:rowOff>
    </xdr:from>
    <xdr:to>
      <xdr:col>2</xdr:col>
      <xdr:colOff>803275</xdr:colOff>
      <xdr:row>281</xdr:row>
      <xdr:rowOff>57150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BAB0553-4464-1749-C037-FCD1485C5C0D}"/>
            </a:ext>
          </a:extLst>
        </xdr:cNvPr>
        <xdr:cNvCxnSpPr/>
      </xdr:nvCxnSpPr>
      <xdr:spPr>
        <a:xfrm>
          <a:off x="13522537725" y="17218025"/>
          <a:ext cx="660400" cy="250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409575</xdr:colOff>
      <xdr:row>285</xdr:row>
      <xdr:rowOff>3175</xdr:rowOff>
    </xdr:from>
    <xdr:to>
      <xdr:col>5</xdr:col>
      <xdr:colOff>412750</xdr:colOff>
      <xdr:row>286</xdr:row>
      <xdr:rowOff>57150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BF6E9092-FDBB-2164-4FAC-F1B6ADBF28DE}"/>
            </a:ext>
          </a:extLst>
        </xdr:cNvPr>
        <xdr:cNvCxnSpPr/>
      </xdr:nvCxnSpPr>
      <xdr:spPr>
        <a:xfrm flipH="1">
          <a:off x="13520451750" y="18176875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768350</xdr:colOff>
      <xdr:row>284</xdr:row>
      <xdr:rowOff>180975</xdr:rowOff>
    </xdr:from>
    <xdr:to>
      <xdr:col>6</xdr:col>
      <xdr:colOff>263525</xdr:colOff>
      <xdr:row>286</xdr:row>
      <xdr:rowOff>9525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835A00B5-12F8-2926-E802-AFE9D47D4431}"/>
            </a:ext>
          </a:extLst>
        </xdr:cNvPr>
        <xdr:cNvCxnSpPr/>
      </xdr:nvCxnSpPr>
      <xdr:spPr>
        <a:xfrm flipH="1">
          <a:off x="13519775475" y="18164175"/>
          <a:ext cx="3206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284</xdr:row>
      <xdr:rowOff>177800</xdr:rowOff>
    </xdr:from>
    <xdr:to>
      <xdr:col>4</xdr:col>
      <xdr:colOff>711200</xdr:colOff>
      <xdr:row>286</xdr:row>
      <xdr:rowOff>31750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B731294-6E09-15CC-F8D1-0889BEB814A1}"/>
            </a:ext>
          </a:extLst>
        </xdr:cNvPr>
        <xdr:cNvCxnSpPr/>
      </xdr:nvCxnSpPr>
      <xdr:spPr>
        <a:xfrm>
          <a:off x="13520978800" y="18161000"/>
          <a:ext cx="228600" cy="2349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409575</xdr:colOff>
      <xdr:row>284</xdr:row>
      <xdr:rowOff>177800</xdr:rowOff>
    </xdr:from>
    <xdr:to>
      <xdr:col>4</xdr:col>
      <xdr:colOff>323850</xdr:colOff>
      <xdr:row>286</xdr:row>
      <xdr:rowOff>41275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3B9C3D99-45E1-2BFD-4E01-8F876C6FFA1F}"/>
            </a:ext>
          </a:extLst>
        </xdr:cNvPr>
        <xdr:cNvCxnSpPr/>
      </xdr:nvCxnSpPr>
      <xdr:spPr>
        <a:xfrm>
          <a:off x="13521366150" y="18161000"/>
          <a:ext cx="7397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673100</xdr:colOff>
      <xdr:row>309</xdr:row>
      <xdr:rowOff>31750</xdr:rowOff>
    </xdr:from>
    <xdr:to>
      <xdr:col>3</xdr:col>
      <xdr:colOff>673100</xdr:colOff>
      <xdr:row>310</xdr:row>
      <xdr:rowOff>88900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7CE83D08-FE64-E9F5-21D2-AD4549EC927D}"/>
            </a:ext>
          </a:extLst>
        </xdr:cNvPr>
        <xdr:cNvCxnSpPr/>
      </xdr:nvCxnSpPr>
      <xdr:spPr>
        <a:xfrm>
          <a:off x="13521842400" y="22777450"/>
          <a:ext cx="0" cy="247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768351</xdr:colOff>
      <xdr:row>308</xdr:row>
      <xdr:rowOff>146050</xdr:rowOff>
    </xdr:from>
    <xdr:to>
      <xdr:col>3</xdr:col>
      <xdr:colOff>73026</xdr:colOff>
      <xdr:row>309</xdr:row>
      <xdr:rowOff>57150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1CA48F2D-B89D-F799-DAFA-442CF6CB0D77}"/>
            </a:ext>
          </a:extLst>
        </xdr:cNvPr>
        <xdr:cNvSpPr/>
      </xdr:nvSpPr>
      <xdr:spPr>
        <a:xfrm rot="16200000">
          <a:off x="13522869512" y="22274212"/>
          <a:ext cx="101600" cy="95567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377825</xdr:colOff>
      <xdr:row>342</xdr:row>
      <xdr:rowOff>184150</xdr:rowOff>
    </xdr:from>
    <xdr:to>
      <xdr:col>5</xdr:col>
      <xdr:colOff>384175</xdr:colOff>
      <xdr:row>344</xdr:row>
      <xdr:rowOff>95250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F5DD30F0-35FA-725F-6878-EA8F88B05B1E}"/>
            </a:ext>
          </a:extLst>
        </xdr:cNvPr>
        <xdr:cNvCxnSpPr/>
      </xdr:nvCxnSpPr>
      <xdr:spPr>
        <a:xfrm flipH="1">
          <a:off x="13520480325" y="29216350"/>
          <a:ext cx="6350" cy="292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615950</xdr:colOff>
      <xdr:row>342</xdr:row>
      <xdr:rowOff>174625</xdr:rowOff>
    </xdr:from>
    <xdr:to>
      <xdr:col>4</xdr:col>
      <xdr:colOff>619125</xdr:colOff>
      <xdr:row>345</xdr:row>
      <xdr:rowOff>57150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BAF7C-E480-E20F-CB27-6DDE543554F3}"/>
            </a:ext>
          </a:extLst>
        </xdr:cNvPr>
        <xdr:cNvCxnSpPr/>
      </xdr:nvCxnSpPr>
      <xdr:spPr>
        <a:xfrm>
          <a:off x="13521070875" y="29206825"/>
          <a:ext cx="3175" cy="454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387350</xdr:colOff>
      <xdr:row>342</xdr:row>
      <xdr:rowOff>158750</xdr:rowOff>
    </xdr:from>
    <xdr:to>
      <xdr:col>4</xdr:col>
      <xdr:colOff>330200</xdr:colOff>
      <xdr:row>344</xdr:row>
      <xdr:rowOff>60325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1C84818-DE25-D91C-6A3E-00189A8FFE1B}"/>
            </a:ext>
          </a:extLst>
        </xdr:cNvPr>
        <xdr:cNvCxnSpPr/>
      </xdr:nvCxnSpPr>
      <xdr:spPr>
        <a:xfrm>
          <a:off x="13521359800" y="29190950"/>
          <a:ext cx="768350" cy="282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695326</xdr:colOff>
      <xdr:row>373</xdr:row>
      <xdr:rowOff>196850</xdr:rowOff>
    </xdr:from>
    <xdr:ext cx="360374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=50,000∗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1+8%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1+9%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𝐹𝑉=50,000∗(1+8%)∗(1+9%)∗(1+12%)^3=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640108</xdr:colOff>
      <xdr:row>382</xdr:row>
      <xdr:rowOff>105550</xdr:rowOff>
    </xdr:from>
    <xdr:to>
      <xdr:col>5</xdr:col>
      <xdr:colOff>139598</xdr:colOff>
      <xdr:row>383</xdr:row>
      <xdr:rowOff>102145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FCF74C0-1210-AA84-0145-D5A15102D24C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E5623BE-268B-C54F-B040-EC9DA3DA569A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AEA23B07-6649-F641-876D-E6A939BBA201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245147</xdr:colOff>
      <xdr:row>383</xdr:row>
      <xdr:rowOff>115764</xdr:rowOff>
    </xdr:from>
    <xdr:to>
      <xdr:col>2</xdr:col>
      <xdr:colOff>813753</xdr:colOff>
      <xdr:row>383</xdr:row>
      <xdr:rowOff>115765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5FCF881-4877-BBC2-172A-9A3C16F80997}"/>
            </a:ext>
          </a:extLst>
        </xdr:cNvPr>
        <xdr:cNvCxnSpPr/>
      </xdr:nvCxnSpPr>
      <xdr:spPr>
        <a:xfrm flipV="1">
          <a:off x="13497427212" y="37030885"/>
          <a:ext cx="568606" cy="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3225A93C-4147-EA4B-B740-B0659209E051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9D6737C1-D376-B640-8A4B-E601308DBCC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51B56FB-B39B-8C44-99F0-474E540B5CA6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7ADF3DC8-F50C-C143-821D-0356D9991B89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FD562965-B0F0-924F-8D08-ED0DC6FA120C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349250</xdr:colOff>
      <xdr:row>459</xdr:row>
      <xdr:rowOff>19050</xdr:rowOff>
    </xdr:from>
    <xdr:to>
      <xdr:col>5</xdr:col>
      <xdr:colOff>352425</xdr:colOff>
      <xdr:row>460</xdr:row>
      <xdr:rowOff>38100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CB8E9F8C-CAB9-8B40-8FF0-00C4794656A7}"/>
            </a:ext>
          </a:extLst>
        </xdr:cNvPr>
        <xdr:cNvCxnSpPr/>
      </xdr:nvCxnSpPr>
      <xdr:spPr>
        <a:xfrm flipH="1">
          <a:off x="13520512075" y="51441350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28575</xdr:colOff>
      <xdr:row>458</xdr:row>
      <xdr:rowOff>187325</xdr:rowOff>
    </xdr:from>
    <xdr:to>
      <xdr:col>4</xdr:col>
      <xdr:colOff>31750</xdr:colOff>
      <xdr:row>460</xdr:row>
      <xdr:rowOff>15875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3CDB689B-74FF-506F-A25B-A0D24CC57A4F}"/>
            </a:ext>
          </a:extLst>
        </xdr:cNvPr>
        <xdr:cNvCxnSpPr/>
      </xdr:nvCxnSpPr>
      <xdr:spPr>
        <a:xfrm flipH="1">
          <a:off x="13521658250" y="51419125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215900</xdr:colOff>
      <xdr:row>516</xdr:row>
      <xdr:rowOff>9525</xdr:rowOff>
    </xdr:from>
    <xdr:to>
      <xdr:col>5</xdr:col>
      <xdr:colOff>225425</xdr:colOff>
      <xdr:row>517</xdr:row>
      <xdr:rowOff>139700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0B24469-EE5C-9AC9-E888-E5A753FC0A79}"/>
            </a:ext>
          </a:extLst>
        </xdr:cNvPr>
        <xdr:cNvCxnSpPr/>
      </xdr:nvCxnSpPr>
      <xdr:spPr>
        <a:xfrm flipH="1">
          <a:off x="13520639075" y="6234112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612775</xdr:colOff>
      <xdr:row>515</xdr:row>
      <xdr:rowOff>180975</xdr:rowOff>
    </xdr:from>
    <xdr:to>
      <xdr:col>3</xdr:col>
      <xdr:colOff>622300</xdr:colOff>
      <xdr:row>517</xdr:row>
      <xdr:rowOff>120650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512843B-0EED-40FF-9046-B52847EEA011}"/>
            </a:ext>
          </a:extLst>
        </xdr:cNvPr>
        <xdr:cNvCxnSpPr/>
      </xdr:nvCxnSpPr>
      <xdr:spPr>
        <a:xfrm flipH="1">
          <a:off x="13521893200" y="623220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419100</xdr:colOff>
      <xdr:row>516</xdr:row>
      <xdr:rowOff>3175</xdr:rowOff>
    </xdr:from>
    <xdr:to>
      <xdr:col>2</xdr:col>
      <xdr:colOff>428625</xdr:colOff>
      <xdr:row>517</xdr:row>
      <xdr:rowOff>133350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7E000D8A-7CD2-955A-80D4-05F1BFF14640}"/>
            </a:ext>
          </a:extLst>
        </xdr:cNvPr>
        <xdr:cNvCxnSpPr/>
      </xdr:nvCxnSpPr>
      <xdr:spPr>
        <a:xfrm flipH="1">
          <a:off x="13522912375" y="623347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321478</xdr:colOff>
      <xdr:row>83</xdr:row>
      <xdr:rowOff>1</xdr:rowOff>
    </xdr:from>
    <xdr:to>
      <xdr:col>5</xdr:col>
      <xdr:colOff>327843</xdr:colOff>
      <xdr:row>84</xdr:row>
      <xdr:rowOff>178246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233327CE-909B-562D-02BC-D1B4C85F743B}"/>
            </a:ext>
          </a:extLst>
        </xdr:cNvPr>
        <xdr:cNvCxnSpPr/>
      </xdr:nvCxnSpPr>
      <xdr:spPr>
        <a:xfrm flipH="1">
          <a:off x="13502289876" y="15952983"/>
          <a:ext cx="6365" cy="369223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44561</xdr:colOff>
      <xdr:row>82</xdr:row>
      <xdr:rowOff>127318</xdr:rowOff>
    </xdr:from>
    <xdr:to>
      <xdr:col>6</xdr:col>
      <xdr:colOff>712982</xdr:colOff>
      <xdr:row>82</xdr:row>
      <xdr:rowOff>127318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34F5C2B5-7854-0306-8ECE-015C4DAAAC3B}"/>
            </a:ext>
          </a:extLst>
        </xdr:cNvPr>
        <xdr:cNvCxnSpPr/>
      </xdr:nvCxnSpPr>
      <xdr:spPr>
        <a:xfrm flipH="1">
          <a:off x="13501080351" y="15889323"/>
          <a:ext cx="668421" cy="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35012</xdr:colOff>
      <xdr:row>83</xdr:row>
      <xdr:rowOff>12733</xdr:rowOff>
    </xdr:from>
    <xdr:to>
      <xdr:col>4</xdr:col>
      <xdr:colOff>416967</xdr:colOff>
      <xdr:row>85</xdr:row>
      <xdr:rowOff>6366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B91B2F89-CEAB-7554-E2F8-A1CBFEA30674}"/>
            </a:ext>
          </a:extLst>
        </xdr:cNvPr>
        <xdr:cNvCxnSpPr/>
      </xdr:nvCxnSpPr>
      <xdr:spPr>
        <a:xfrm>
          <a:off x="13503025138" y="15965715"/>
          <a:ext cx="381955" cy="37558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358836</xdr:colOff>
      <xdr:row>104</xdr:row>
      <xdr:rowOff>7036</xdr:rowOff>
    </xdr:from>
    <xdr:to>
      <xdr:col>6</xdr:col>
      <xdr:colOff>358836</xdr:colOff>
      <xdr:row>105</xdr:row>
      <xdr:rowOff>154792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4F5B1358-74FA-8B1F-8614-24B6B275DA4D}"/>
            </a:ext>
          </a:extLst>
        </xdr:cNvPr>
        <xdr:cNvCxnSpPr/>
      </xdr:nvCxnSpPr>
      <xdr:spPr>
        <a:xfrm>
          <a:off x="13539846427" y="19869695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151274</xdr:colOff>
      <xdr:row>104</xdr:row>
      <xdr:rowOff>3517</xdr:rowOff>
    </xdr:from>
    <xdr:to>
      <xdr:col>5</xdr:col>
      <xdr:colOff>151274</xdr:colOff>
      <xdr:row>105</xdr:row>
      <xdr:rowOff>151273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DF539485-CD77-C3F6-49A5-A2A136217AEA}"/>
            </a:ext>
          </a:extLst>
        </xdr:cNvPr>
        <xdr:cNvCxnSpPr/>
      </xdr:nvCxnSpPr>
      <xdr:spPr>
        <a:xfrm>
          <a:off x="13540880720" y="1986617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411606</xdr:colOff>
      <xdr:row>114</xdr:row>
      <xdr:rowOff>10554</xdr:rowOff>
    </xdr:from>
    <xdr:to>
      <xdr:col>6</xdr:col>
      <xdr:colOff>411606</xdr:colOff>
      <xdr:row>115</xdr:row>
      <xdr:rowOff>158310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4AFA5737-7366-0B5C-E3D9-2ABA2126247F}"/>
            </a:ext>
          </a:extLst>
        </xdr:cNvPr>
        <xdr:cNvCxnSpPr/>
      </xdr:nvCxnSpPr>
      <xdr:spPr>
        <a:xfrm>
          <a:off x="13539793657" y="2177293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126647</xdr:colOff>
      <xdr:row>114</xdr:row>
      <xdr:rowOff>14072</xdr:rowOff>
    </xdr:from>
    <xdr:to>
      <xdr:col>5</xdr:col>
      <xdr:colOff>126647</xdr:colOff>
      <xdr:row>115</xdr:row>
      <xdr:rowOff>161828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C2171D7D-5BA0-B133-D7E0-31B3BCBB48B2}"/>
            </a:ext>
          </a:extLst>
        </xdr:cNvPr>
        <xdr:cNvCxnSpPr/>
      </xdr:nvCxnSpPr>
      <xdr:spPr>
        <a:xfrm>
          <a:off x="13540905347" y="21776454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337553</xdr:colOff>
      <xdr:row>142</xdr:row>
      <xdr:rowOff>13369</xdr:rowOff>
    </xdr:from>
    <xdr:to>
      <xdr:col>5</xdr:col>
      <xdr:colOff>337553</xdr:colOff>
      <xdr:row>143</xdr:row>
      <xdr:rowOff>73527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6AB97017-9C71-A45C-A190-8A366B5BC508}"/>
            </a:ext>
          </a:extLst>
        </xdr:cNvPr>
        <xdr:cNvCxnSpPr/>
      </xdr:nvCxnSpPr>
      <xdr:spPr>
        <a:xfrm>
          <a:off x="13520526947" y="27167974"/>
          <a:ext cx="0" cy="25065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818816</xdr:colOff>
      <xdr:row>142</xdr:row>
      <xdr:rowOff>13369</xdr:rowOff>
    </xdr:from>
    <xdr:to>
      <xdr:col>4</xdr:col>
      <xdr:colOff>568158</xdr:colOff>
      <xdr:row>143</xdr:row>
      <xdr:rowOff>143711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236B462-D4DC-3DAE-B1C3-02952DB9EC51}"/>
            </a:ext>
          </a:extLst>
        </xdr:cNvPr>
        <xdr:cNvCxnSpPr/>
      </xdr:nvCxnSpPr>
      <xdr:spPr>
        <a:xfrm>
          <a:off x="13521121842" y="27167974"/>
          <a:ext cx="574842" cy="3208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455083</xdr:colOff>
      <xdr:row>231</xdr:row>
      <xdr:rowOff>37041</xdr:rowOff>
    </xdr:from>
    <xdr:to>
      <xdr:col>4</xdr:col>
      <xdr:colOff>455083</xdr:colOff>
      <xdr:row>242</xdr:row>
      <xdr:rowOff>169333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51D6A59-F4BA-6004-6BB0-F555178773C5}"/>
            </a:ext>
          </a:extLst>
        </xdr:cNvPr>
        <xdr:cNvCxnSpPr/>
      </xdr:nvCxnSpPr>
      <xdr:spPr>
        <a:xfrm flipV="1">
          <a:off x="13554697406" y="36987720"/>
          <a:ext cx="0" cy="221831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534458</xdr:colOff>
      <xdr:row>238</xdr:row>
      <xdr:rowOff>89958</xdr:rowOff>
    </xdr:from>
    <xdr:to>
      <xdr:col>5</xdr:col>
      <xdr:colOff>195792</xdr:colOff>
      <xdr:row>238</xdr:row>
      <xdr:rowOff>95249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F18AF1C-F7D9-DBE6-3C1B-A5D0FF714687}"/>
            </a:ext>
          </a:extLst>
        </xdr:cNvPr>
        <xdr:cNvCxnSpPr/>
      </xdr:nvCxnSpPr>
      <xdr:spPr>
        <a:xfrm flipV="1">
          <a:off x="13554129186" y="38368103"/>
          <a:ext cx="2931153" cy="529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571500</xdr:colOff>
      <xdr:row>233</xdr:row>
      <xdr:rowOff>127000</xdr:rowOff>
    </xdr:from>
    <xdr:to>
      <xdr:col>4</xdr:col>
      <xdr:colOff>465667</xdr:colOff>
      <xdr:row>241</xdr:row>
      <xdr:rowOff>84666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6FEB79FB-9351-F299-8621-20805CA015FE}"/>
            </a:ext>
          </a:extLst>
        </xdr:cNvPr>
        <xdr:cNvSpPr/>
      </xdr:nvSpPr>
      <xdr:spPr>
        <a:xfrm>
          <a:off x="13554686822" y="37456955"/>
          <a:ext cx="2336475" cy="1474770"/>
        </a:xfrm>
        <a:custGeom>
          <a:avLst/>
          <a:gdLst>
            <a:gd name="connsiteX0" fmla="*/ 0 w 2333625"/>
            <a:gd name="connsiteY0" fmla="*/ 0 h 1481666"/>
            <a:gd name="connsiteX1" fmla="*/ 1010708 w 2333625"/>
            <a:gd name="connsiteY1" fmla="*/ 1111250 h 1481666"/>
            <a:gd name="connsiteX2" fmla="*/ 2333625 w 2333625"/>
            <a:gd name="connsiteY2" fmla="*/ 1481666 h 14816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1481666">
              <a:moveTo>
                <a:pt x="0" y="0"/>
              </a:moveTo>
              <a:cubicBezTo>
                <a:pt x="310885" y="432153"/>
                <a:pt x="621771" y="864306"/>
                <a:pt x="1010708" y="1111250"/>
              </a:cubicBezTo>
              <a:cubicBezTo>
                <a:pt x="1399645" y="1358194"/>
                <a:pt x="1866635" y="1419930"/>
                <a:pt x="2333625" y="148166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oneCellAnchor>
    <xdr:from>
      <xdr:col>3</xdr:col>
      <xdr:colOff>814917</xdr:colOff>
      <xdr:row>233</xdr:row>
      <xdr:rowOff>34924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53942061" y="37364879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20996145" y="3752109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703792</xdr:colOff>
      <xdr:row>238</xdr:row>
      <xdr:rowOff>103716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54840471" y="3838186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36.31%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21895728" y="38542383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36.31%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566209</xdr:colOff>
      <xdr:row>242</xdr:row>
      <xdr:rowOff>89958</xdr:rowOff>
    </xdr:from>
    <xdr:to>
      <xdr:col>4</xdr:col>
      <xdr:colOff>460376</xdr:colOff>
      <xdr:row>242</xdr:row>
      <xdr:rowOff>95250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728D4EC-5EA8-A8A6-08D0-E1553D77D4AE}"/>
            </a:ext>
          </a:extLst>
        </xdr:cNvPr>
        <xdr:cNvCxnSpPr/>
      </xdr:nvCxnSpPr>
      <xdr:spPr>
        <a:xfrm>
          <a:off x="13554692113" y="39126655"/>
          <a:ext cx="3163986" cy="529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84668</xdr:colOff>
      <xdr:row>242</xdr:row>
      <xdr:rowOff>3174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53844799" y="3903987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20900894" y="3920384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362857</xdr:colOff>
      <xdr:row>400</xdr:row>
      <xdr:rowOff>66842</xdr:rowOff>
    </xdr:from>
    <xdr:to>
      <xdr:col>4</xdr:col>
      <xdr:colOff>365403</xdr:colOff>
      <xdr:row>413</xdr:row>
      <xdr:rowOff>62366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8C499955-CEE5-1170-2BC3-34ACF448EFA4}"/>
            </a:ext>
          </a:extLst>
        </xdr:cNvPr>
        <xdr:cNvCxnSpPr/>
      </xdr:nvCxnSpPr>
      <xdr:spPr>
        <a:xfrm flipH="1" flipV="1">
          <a:off x="13558948347" y="62143762"/>
          <a:ext cx="2546" cy="25015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432245</xdr:colOff>
      <xdr:row>406</xdr:row>
      <xdr:rowOff>142596</xdr:rowOff>
    </xdr:from>
    <xdr:to>
      <xdr:col>4</xdr:col>
      <xdr:colOff>530280</xdr:colOff>
      <xdr:row>406</xdr:row>
      <xdr:rowOff>151509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CF1FBD44-BE6A-9E28-D086-E94C058A1574}"/>
            </a:ext>
          </a:extLst>
        </xdr:cNvPr>
        <xdr:cNvCxnSpPr/>
      </xdr:nvCxnSpPr>
      <xdr:spPr>
        <a:xfrm flipV="1">
          <a:off x="13503397544" y="63032105"/>
          <a:ext cx="2535544" cy="89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179419</xdr:colOff>
      <xdr:row>401</xdr:row>
      <xdr:rowOff>38447</xdr:rowOff>
    </xdr:from>
    <xdr:ext cx="173812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𝑀𝐴𝑋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𝑁𝑃𝑉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𝑀𝐴𝑋 𝑁𝑃𝑉=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292872</xdr:colOff>
      <xdr:row>407</xdr:row>
      <xdr:rowOff>40057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=28%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𝐴=28%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349947</xdr:colOff>
      <xdr:row>412</xdr:row>
      <xdr:rowOff>36814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𝑨</m:t>
                        </m:r>
                      </m:sub>
                    </m:sSub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𝟐𝟎𝟎</m:t>
                    </m:r>
                  </m:oMath>
                </m:oMathPara>
              </a14:m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𝑰𝑵𝑽𝑬𝑺𝑻𝑴𝑬𝑵𝑻_𝑨=−𝟐𝟎𝟎</a:t>
              </a:r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289152</xdr:colOff>
      <xdr:row>401</xdr:row>
      <xdr:rowOff>17008</xdr:rowOff>
    </xdr:from>
    <xdr:to>
      <xdr:col>4</xdr:col>
      <xdr:colOff>419554</xdr:colOff>
      <xdr:row>401</xdr:row>
      <xdr:rowOff>136071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912E6557-D3A6-79FA-2250-A81716FE4E9E}"/>
            </a:ext>
          </a:extLst>
        </xdr:cNvPr>
        <xdr:cNvSpPr/>
      </xdr:nvSpPr>
      <xdr:spPr>
        <a:xfrm>
          <a:off x="13558894196" y="62286696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330077</xdr:colOff>
      <xdr:row>401</xdr:row>
      <xdr:rowOff>49007</xdr:rowOff>
    </xdr:from>
    <xdr:to>
      <xdr:col>4</xdr:col>
      <xdr:colOff>460479</xdr:colOff>
      <xdr:row>401</xdr:row>
      <xdr:rowOff>168070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F591DF35-2A31-3B9A-BF3F-8C1F79C28A5C}"/>
            </a:ext>
          </a:extLst>
        </xdr:cNvPr>
        <xdr:cNvSpPr/>
      </xdr:nvSpPr>
      <xdr:spPr>
        <a:xfrm>
          <a:off x="13509197366" y="69307800"/>
          <a:ext cx="130402" cy="119063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266474</xdr:colOff>
      <xdr:row>406</xdr:row>
      <xdr:rowOff>85044</xdr:rowOff>
    </xdr:from>
    <xdr:to>
      <xdr:col>3</xdr:col>
      <xdr:colOff>396876</xdr:colOff>
      <xdr:row>407</xdr:row>
      <xdr:rowOff>11339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2EF028E8-BB1B-3E36-F9AA-CAD06ACBFB48}"/>
            </a:ext>
          </a:extLst>
        </xdr:cNvPr>
        <xdr:cNvSpPr/>
      </xdr:nvSpPr>
      <xdr:spPr>
        <a:xfrm>
          <a:off x="13559744642" y="63318571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326493</xdr:colOff>
      <xdr:row>406</xdr:row>
      <xdr:rowOff>88303</xdr:rowOff>
    </xdr:from>
    <xdr:to>
      <xdr:col>2</xdr:col>
      <xdr:colOff>456895</xdr:colOff>
      <xdr:row>407</xdr:row>
      <xdr:rowOff>14598</xdr:rowOff>
    </xdr:to>
    <xdr:sp macro="" textlink="">
      <xdr:nvSpPr>
        <xdr:cNvPr id="20" name="Oval 19">
          <a:extLst>
            <a:ext uri="{FF2B5EF4-FFF2-40B4-BE49-F238E27FC236}">
              <a16:creationId xmlns:a16="http://schemas.microsoft.com/office/drawing/2014/main" id="{19051DD5-ADC3-4BB4-0F20-ECCB079CC821}"/>
            </a:ext>
          </a:extLst>
        </xdr:cNvPr>
        <xdr:cNvSpPr/>
      </xdr:nvSpPr>
      <xdr:spPr>
        <a:xfrm>
          <a:off x="13510813996" y="70295947"/>
          <a:ext cx="130402" cy="116065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114507</xdr:colOff>
      <xdr:row>407</xdr:row>
      <xdr:rowOff>57066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=56%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𝐵=56%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385203</xdr:colOff>
      <xdr:row>409</xdr:row>
      <xdr:rowOff>86669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𝑩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𝟏𝟎𝟎</m:t>
                    </m:r>
                  </m:oMath>
                </m:oMathPara>
              </a14:m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𝑰𝑵𝑽𝑬𝑺𝑻𝑴𝑬𝑵𝑻_𝑩=−𝟏𝟎𝟎</a:t>
              </a:r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470580</xdr:colOff>
      <xdr:row>401</xdr:row>
      <xdr:rowOff>73705</xdr:rowOff>
    </xdr:from>
    <xdr:to>
      <xdr:col>4</xdr:col>
      <xdr:colOff>351518</xdr:colOff>
      <xdr:row>412</xdr:row>
      <xdr:rowOff>55080</xdr:rowOff>
    </xdr:to>
    <xdr:sp macro="" textlink="">
      <xdr:nvSpPr>
        <xdr:cNvPr id="24" name="Freeform 23">
          <a:extLst>
            <a:ext uri="{FF2B5EF4-FFF2-40B4-BE49-F238E27FC236}">
              <a16:creationId xmlns:a16="http://schemas.microsoft.com/office/drawing/2014/main" id="{5506F36A-920A-1F48-8E5A-8007217A931D}"/>
            </a:ext>
          </a:extLst>
        </xdr:cNvPr>
        <xdr:cNvSpPr/>
      </xdr:nvSpPr>
      <xdr:spPr>
        <a:xfrm>
          <a:off x="13558962232" y="62343393"/>
          <a:ext cx="3152322" cy="2101821"/>
        </a:xfrm>
        <a:custGeom>
          <a:avLst/>
          <a:gdLst>
            <a:gd name="connsiteX0" fmla="*/ 0 w 3152322"/>
            <a:gd name="connsiteY0" fmla="*/ 0 h 2101821"/>
            <a:gd name="connsiteX1" fmla="*/ 1128259 w 3152322"/>
            <a:gd name="connsiteY1" fmla="*/ 1389062 h 2101821"/>
            <a:gd name="connsiteX2" fmla="*/ 1950357 w 3152322"/>
            <a:gd name="connsiteY2" fmla="*/ 1995714 h 2101821"/>
            <a:gd name="connsiteX3" fmla="*/ 3152322 w 3152322"/>
            <a:gd name="connsiteY3" fmla="*/ 2097768 h 21018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152322" h="2101821">
              <a:moveTo>
                <a:pt x="0" y="0"/>
              </a:moveTo>
              <a:cubicBezTo>
                <a:pt x="401600" y="528221"/>
                <a:pt x="803200" y="1056443"/>
                <a:pt x="1128259" y="1389062"/>
              </a:cubicBezTo>
              <a:cubicBezTo>
                <a:pt x="1453318" y="1721681"/>
                <a:pt x="1613013" y="1877596"/>
                <a:pt x="1950357" y="1995714"/>
              </a:cubicBezTo>
              <a:cubicBezTo>
                <a:pt x="2287701" y="2113832"/>
                <a:pt x="2720011" y="2105800"/>
                <a:pt x="3152322" y="2097768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138678</xdr:colOff>
      <xdr:row>401</xdr:row>
      <xdr:rowOff>65169</xdr:rowOff>
    </xdr:from>
    <xdr:to>
      <xdr:col>4</xdr:col>
      <xdr:colOff>427830</xdr:colOff>
      <xdr:row>409</xdr:row>
      <xdr:rowOff>165071</xdr:rowOff>
    </xdr:to>
    <xdr:sp macro="" textlink="">
      <xdr:nvSpPr>
        <xdr:cNvPr id="25" name="Freeform 24">
          <a:extLst>
            <a:ext uri="{FF2B5EF4-FFF2-40B4-BE49-F238E27FC236}">
              <a16:creationId xmlns:a16="http://schemas.microsoft.com/office/drawing/2014/main" id="{B725592A-2C57-7A05-1BB8-693D81D26CA8}"/>
            </a:ext>
          </a:extLst>
        </xdr:cNvPr>
        <xdr:cNvSpPr/>
      </xdr:nvSpPr>
      <xdr:spPr>
        <a:xfrm>
          <a:off x="13509230015" y="69323962"/>
          <a:ext cx="3551738" cy="1618063"/>
        </a:xfrm>
        <a:custGeom>
          <a:avLst/>
          <a:gdLst>
            <a:gd name="connsiteX0" fmla="*/ 0 w 3560536"/>
            <a:gd name="connsiteY0" fmla="*/ 0 h 1642044"/>
            <a:gd name="connsiteX1" fmla="*/ 1836965 w 3560536"/>
            <a:gd name="connsiteY1" fmla="*/ 1116919 h 1642044"/>
            <a:gd name="connsiteX2" fmla="*/ 2959554 w 3560536"/>
            <a:gd name="connsiteY2" fmla="*/ 1564821 h 1642044"/>
            <a:gd name="connsiteX3" fmla="*/ 3560536 w 3560536"/>
            <a:gd name="connsiteY3" fmla="*/ 1638527 h 164204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560536" h="1642044">
              <a:moveTo>
                <a:pt x="0" y="0"/>
              </a:moveTo>
              <a:cubicBezTo>
                <a:pt x="671853" y="428058"/>
                <a:pt x="1343706" y="856116"/>
                <a:pt x="1836965" y="1116919"/>
              </a:cubicBezTo>
              <a:cubicBezTo>
                <a:pt x="2330224" y="1377723"/>
                <a:pt x="2672292" y="1477886"/>
                <a:pt x="2959554" y="1564821"/>
              </a:cubicBezTo>
              <a:cubicBezTo>
                <a:pt x="3246816" y="1651756"/>
                <a:pt x="3403676" y="1645141"/>
                <a:pt x="3560536" y="1638527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304944</xdr:colOff>
      <xdr:row>232</xdr:row>
      <xdr:rowOff>121977</xdr:rowOff>
    </xdr:from>
    <xdr:to>
      <xdr:col>3</xdr:col>
      <xdr:colOff>674464</xdr:colOff>
      <xdr:row>237</xdr:row>
      <xdr:rowOff>43050</xdr:rowOff>
    </xdr:to>
    <xdr:sp macro="" textlink="">
      <xdr:nvSpPr>
        <xdr:cNvPr id="2" name="Rounded Rectangular Callout 1">
          <a:extLst>
            <a:ext uri="{FF2B5EF4-FFF2-40B4-BE49-F238E27FC236}">
              <a16:creationId xmlns:a16="http://schemas.microsoft.com/office/drawing/2014/main" id="{6A109D00-0065-3AAA-DA60-4254C883F8FA}"/>
            </a:ext>
          </a:extLst>
        </xdr:cNvPr>
        <xdr:cNvSpPr/>
      </xdr:nvSpPr>
      <xdr:spPr>
        <a:xfrm>
          <a:off x="13515888898" y="37472175"/>
          <a:ext cx="1155198" cy="871779"/>
        </a:xfrm>
        <a:prstGeom prst="wedgeRoundRectCallout">
          <a:avLst>
            <a:gd name="adj1" fmla="val -33527"/>
            <a:gd name="adj2" fmla="val 6447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Horizontal</a:t>
          </a:r>
          <a:r>
            <a:rPr lang="en-US" sz="1100" baseline="0"/>
            <a:t> Axis Intersection Point: IRR</a:t>
          </a:r>
          <a:endParaRPr lang="en-US" sz="1100"/>
        </a:p>
      </xdr:txBody>
    </xdr:sp>
    <xdr:clientData/>
  </xdr:twoCellAnchor>
  <xdr:twoCellAnchor>
    <xdr:from>
      <xdr:col>5</xdr:col>
      <xdr:colOff>46638</xdr:colOff>
      <xdr:row>231</xdr:row>
      <xdr:rowOff>53814</xdr:rowOff>
    </xdr:from>
    <xdr:to>
      <xdr:col>6</xdr:col>
      <xdr:colOff>376695</xdr:colOff>
      <xdr:row>235</xdr:row>
      <xdr:rowOff>165028</xdr:rowOff>
    </xdr:to>
    <xdr:sp macro="" textlink="">
      <xdr:nvSpPr>
        <xdr:cNvPr id="6" name="Rounded Rectangular Callout 5">
          <a:extLst>
            <a:ext uri="{FF2B5EF4-FFF2-40B4-BE49-F238E27FC236}">
              <a16:creationId xmlns:a16="http://schemas.microsoft.com/office/drawing/2014/main" id="{988BA361-DB76-6D87-D5BC-3C8843ECE960}"/>
            </a:ext>
          </a:extLst>
        </xdr:cNvPr>
        <xdr:cNvSpPr/>
      </xdr:nvSpPr>
      <xdr:spPr>
        <a:xfrm>
          <a:off x="13513711243" y="37213870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Vertical</a:t>
          </a:r>
          <a:r>
            <a:rPr lang="en-US" sz="1100" baseline="0"/>
            <a:t> Axis Intersection Point: Sum of cash flows</a:t>
          </a:r>
          <a:endParaRPr lang="en-US" sz="1100"/>
        </a:p>
      </xdr:txBody>
    </xdr:sp>
    <xdr:clientData/>
  </xdr:twoCellAnchor>
  <xdr:twoCellAnchor>
    <xdr:from>
      <xdr:col>5</xdr:col>
      <xdr:colOff>157852</xdr:colOff>
      <xdr:row>240</xdr:row>
      <xdr:rowOff>25113</xdr:rowOff>
    </xdr:from>
    <xdr:to>
      <xdr:col>6</xdr:col>
      <xdr:colOff>487909</xdr:colOff>
      <xdr:row>244</xdr:row>
      <xdr:rowOff>136327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16F23EC4-02FA-9C7B-4BAC-D05B25B5E8B8}"/>
            </a:ext>
          </a:extLst>
        </xdr:cNvPr>
        <xdr:cNvSpPr/>
      </xdr:nvSpPr>
      <xdr:spPr>
        <a:xfrm>
          <a:off x="13513600029" y="38896441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Minimal NPV value: initial cash flow (t=0)</a:t>
          </a:r>
        </a:p>
      </xdr:txBody>
    </xdr:sp>
    <xdr:clientData/>
  </xdr:twoCellAnchor>
  <xdr:twoCellAnchor>
    <xdr:from>
      <xdr:col>7</xdr:col>
      <xdr:colOff>73052</xdr:colOff>
      <xdr:row>277</xdr:row>
      <xdr:rowOff>905592</xdr:rowOff>
    </xdr:from>
    <xdr:to>
      <xdr:col>7</xdr:col>
      <xdr:colOff>309831</xdr:colOff>
      <xdr:row>277</xdr:row>
      <xdr:rowOff>1142372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CBAC24BE-36EC-CECB-A7D9-113FAFB26D48}"/>
            </a:ext>
          </a:extLst>
        </xdr:cNvPr>
        <xdr:cNvSpPr/>
      </xdr:nvSpPr>
      <xdr:spPr>
        <a:xfrm>
          <a:off x="13518792544" y="54070967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71752</xdr:colOff>
      <xdr:row>277</xdr:row>
      <xdr:rowOff>914830</xdr:rowOff>
    </xdr:from>
    <xdr:to>
      <xdr:col>8</xdr:col>
      <xdr:colOff>308531</xdr:colOff>
      <xdr:row>277</xdr:row>
      <xdr:rowOff>1151610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D46AB814-7AD1-C133-F241-AA6A0178E82A}"/>
            </a:ext>
          </a:extLst>
        </xdr:cNvPr>
        <xdr:cNvSpPr/>
      </xdr:nvSpPr>
      <xdr:spPr>
        <a:xfrm>
          <a:off x="13511608927" y="46060819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2</a:t>
          </a:r>
        </a:p>
      </xdr:txBody>
    </xdr:sp>
    <xdr:clientData/>
  </xdr:twoCellAnchor>
  <xdr:twoCellAnchor>
    <xdr:from>
      <xdr:col>8</xdr:col>
      <xdr:colOff>516611</xdr:colOff>
      <xdr:row>445</xdr:row>
      <xdr:rowOff>25113</xdr:rowOff>
    </xdr:from>
    <xdr:to>
      <xdr:col>8</xdr:col>
      <xdr:colOff>530961</xdr:colOff>
      <xdr:row>459</xdr:row>
      <xdr:rowOff>93277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E73D26C2-83C5-196A-88DE-4900306BE55A}"/>
            </a:ext>
          </a:extLst>
        </xdr:cNvPr>
        <xdr:cNvCxnSpPr/>
      </xdr:nvCxnSpPr>
      <xdr:spPr>
        <a:xfrm flipH="1" flipV="1">
          <a:off x="13511386497" y="75303107"/>
          <a:ext cx="14350" cy="27301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222430</xdr:colOff>
      <xdr:row>454</xdr:row>
      <xdr:rowOff>114801</xdr:rowOff>
    </xdr:from>
    <xdr:to>
      <xdr:col>8</xdr:col>
      <xdr:colOff>613475</xdr:colOff>
      <xdr:row>454</xdr:row>
      <xdr:rowOff>114802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A4C7FA94-4A44-1BF4-CDC4-F4B6298D2723}"/>
            </a:ext>
          </a:extLst>
        </xdr:cNvPr>
        <xdr:cNvCxnSpPr/>
      </xdr:nvCxnSpPr>
      <xdr:spPr>
        <a:xfrm>
          <a:off x="13511303983" y="77104067"/>
          <a:ext cx="256152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7175</xdr:colOff>
      <xdr:row>450</xdr:row>
      <xdr:rowOff>121977</xdr:rowOff>
    </xdr:from>
    <xdr:to>
      <xdr:col>8</xdr:col>
      <xdr:colOff>530961</xdr:colOff>
      <xdr:row>456</xdr:row>
      <xdr:rowOff>118390</xdr:rowOff>
    </xdr:to>
    <xdr:sp macro="" textlink="">
      <xdr:nvSpPr>
        <xdr:cNvPr id="36" name="Freeform 35">
          <a:extLst>
            <a:ext uri="{FF2B5EF4-FFF2-40B4-BE49-F238E27FC236}">
              <a16:creationId xmlns:a16="http://schemas.microsoft.com/office/drawing/2014/main" id="{024A22E2-7A65-3B54-A9E6-10197BB378B9}"/>
            </a:ext>
          </a:extLst>
        </xdr:cNvPr>
        <xdr:cNvSpPr/>
      </xdr:nvSpPr>
      <xdr:spPr>
        <a:xfrm>
          <a:off x="13511386497" y="76350678"/>
          <a:ext cx="2694266" cy="1137260"/>
        </a:xfrm>
        <a:custGeom>
          <a:avLst/>
          <a:gdLst>
            <a:gd name="connsiteX0" fmla="*/ 0 w 2694266"/>
            <a:gd name="connsiteY0" fmla="*/ 0 h 1137260"/>
            <a:gd name="connsiteX1" fmla="*/ 1015283 w 2694266"/>
            <a:gd name="connsiteY1" fmla="*/ 624237 h 1137260"/>
            <a:gd name="connsiteX2" fmla="*/ 2694266 w 2694266"/>
            <a:gd name="connsiteY2" fmla="*/ 1137260 h 11372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694266" h="1137260">
              <a:moveTo>
                <a:pt x="0" y="0"/>
              </a:moveTo>
              <a:cubicBezTo>
                <a:pt x="283119" y="217347"/>
                <a:pt x="566239" y="434694"/>
                <a:pt x="1015283" y="624237"/>
              </a:cubicBezTo>
              <a:cubicBezTo>
                <a:pt x="1464327" y="813780"/>
                <a:pt x="2354643" y="1042189"/>
                <a:pt x="2694266" y="113726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358757</xdr:colOff>
      <xdr:row>446</xdr:row>
      <xdr:rowOff>100452</xdr:rowOff>
    </xdr:from>
    <xdr:to>
      <xdr:col>8</xdr:col>
      <xdr:colOff>538136</xdr:colOff>
      <xdr:row>458</xdr:row>
      <xdr:rowOff>114802</xdr:rowOff>
    </xdr:to>
    <xdr:sp macro="" textlink="">
      <xdr:nvSpPr>
        <xdr:cNvPr id="37" name="Freeform 36">
          <a:extLst>
            <a:ext uri="{FF2B5EF4-FFF2-40B4-BE49-F238E27FC236}">
              <a16:creationId xmlns:a16="http://schemas.microsoft.com/office/drawing/2014/main" id="{B0DBA9C6-0861-3199-6B35-E337CCF71699}"/>
            </a:ext>
          </a:extLst>
        </xdr:cNvPr>
        <xdr:cNvSpPr/>
      </xdr:nvSpPr>
      <xdr:spPr>
        <a:xfrm>
          <a:off x="13511379322" y="75568588"/>
          <a:ext cx="2349859" cy="2296045"/>
        </a:xfrm>
        <a:custGeom>
          <a:avLst/>
          <a:gdLst>
            <a:gd name="connsiteX0" fmla="*/ 0 w 2349859"/>
            <a:gd name="connsiteY0" fmla="*/ 0 h 2296045"/>
            <a:gd name="connsiteX1" fmla="*/ 739040 w 2349859"/>
            <a:gd name="connsiteY1" fmla="*/ 1427853 h 2296045"/>
            <a:gd name="connsiteX2" fmla="*/ 2349859 w 2349859"/>
            <a:gd name="connsiteY2" fmla="*/ 2296045 h 22960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49859" h="2296045">
              <a:moveTo>
                <a:pt x="0" y="0"/>
              </a:moveTo>
              <a:cubicBezTo>
                <a:pt x="173698" y="522589"/>
                <a:pt x="347397" y="1045179"/>
                <a:pt x="739040" y="1427853"/>
              </a:cubicBezTo>
              <a:cubicBezTo>
                <a:pt x="1130683" y="1810527"/>
                <a:pt x="1740271" y="2053286"/>
                <a:pt x="2349859" y="229604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179379</xdr:colOff>
      <xdr:row>453</xdr:row>
      <xdr:rowOff>131163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14.96%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14.96%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570424</xdr:colOff>
      <xdr:row>454</xdr:row>
      <xdr:rowOff>113224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11.39%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11.39%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520198</xdr:colOff>
      <xdr:row>449</xdr:row>
      <xdr:rowOff>157853</xdr:rowOff>
    </xdr:from>
    <xdr:to>
      <xdr:col>8</xdr:col>
      <xdr:colOff>545311</xdr:colOff>
      <xdr:row>457</xdr:row>
      <xdr:rowOff>121978</xdr:rowOff>
    </xdr:to>
    <xdr:sp macro="" textlink="">
      <xdr:nvSpPr>
        <xdr:cNvPr id="41" name="Freeform 40">
          <a:extLst>
            <a:ext uri="{FF2B5EF4-FFF2-40B4-BE49-F238E27FC236}">
              <a16:creationId xmlns:a16="http://schemas.microsoft.com/office/drawing/2014/main" id="{60C1E243-13BF-F853-1A3E-114B352E2B7C}"/>
            </a:ext>
          </a:extLst>
        </xdr:cNvPr>
        <xdr:cNvSpPr/>
      </xdr:nvSpPr>
      <xdr:spPr>
        <a:xfrm>
          <a:off x="13511372147" y="76196412"/>
          <a:ext cx="2195593" cy="1485255"/>
        </a:xfrm>
        <a:custGeom>
          <a:avLst/>
          <a:gdLst>
            <a:gd name="connsiteX0" fmla="*/ 0 w 2195593"/>
            <a:gd name="connsiteY0" fmla="*/ 0 h 1485255"/>
            <a:gd name="connsiteX1" fmla="*/ 574011 w 2195593"/>
            <a:gd name="connsiteY1" fmla="*/ 907656 h 1485255"/>
            <a:gd name="connsiteX2" fmla="*/ 2195593 w 2195593"/>
            <a:gd name="connsiteY2" fmla="*/ 1485255 h 1485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95593" h="1485255">
              <a:moveTo>
                <a:pt x="0" y="0"/>
              </a:moveTo>
              <a:cubicBezTo>
                <a:pt x="104039" y="330057"/>
                <a:pt x="208079" y="660114"/>
                <a:pt x="574011" y="907656"/>
              </a:cubicBezTo>
              <a:cubicBezTo>
                <a:pt x="939943" y="1155198"/>
                <a:pt x="1567768" y="1320226"/>
                <a:pt x="2195593" y="1485255"/>
              </a:cubicBezTo>
            </a:path>
          </a:pathLst>
        </a:custGeom>
        <a:ln w="9525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1173135</xdr:colOff>
      <xdr:row>454</xdr:row>
      <xdr:rowOff>116811</xdr:rowOff>
    </xdr:from>
    <xdr:ext cx="618651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10.17%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10.17%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25113</xdr:colOff>
      <xdr:row>452</xdr:row>
      <xdr:rowOff>96864</xdr:rowOff>
    </xdr:from>
    <xdr:to>
      <xdr:col>8</xdr:col>
      <xdr:colOff>35876</xdr:colOff>
      <xdr:row>454</xdr:row>
      <xdr:rowOff>25113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5D7B6E4-D40B-43EE-D40C-176D0C99DBCF}"/>
            </a:ext>
          </a:extLst>
        </xdr:cNvPr>
        <xdr:cNvCxnSpPr/>
      </xdr:nvCxnSpPr>
      <xdr:spPr>
        <a:xfrm flipH="1" flipV="1">
          <a:off x="13511881582" y="76705847"/>
          <a:ext cx="10763" cy="30853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1338164</xdr:colOff>
      <xdr:row>451</xdr:row>
      <xdr:rowOff>182966</xdr:rowOff>
    </xdr:from>
    <xdr:to>
      <xdr:col>8</xdr:col>
      <xdr:colOff>96865</xdr:colOff>
      <xdr:row>452</xdr:row>
      <xdr:rowOff>139915</xdr:rowOff>
    </xdr:to>
    <xdr:sp macro="" textlink="">
      <xdr:nvSpPr>
        <xdr:cNvPr id="46" name="Triangle 45">
          <a:extLst>
            <a:ext uri="{FF2B5EF4-FFF2-40B4-BE49-F238E27FC236}">
              <a16:creationId xmlns:a16="http://schemas.microsoft.com/office/drawing/2014/main" id="{28C13A14-2CE0-34BD-1F39-1DADB611747F}"/>
            </a:ext>
          </a:extLst>
        </xdr:cNvPr>
        <xdr:cNvSpPr/>
      </xdr:nvSpPr>
      <xdr:spPr>
        <a:xfrm>
          <a:off x="13511820593" y="76601808"/>
          <a:ext cx="104040" cy="147090"/>
        </a:xfrm>
        <a:prstGeom prst="triangle">
          <a:avLst/>
        </a:prstGeom>
      </xdr:spPr>
      <xdr:style>
        <a:lnRef idx="0">
          <a:schemeClr val="accent4"/>
        </a:lnRef>
        <a:fillRef idx="3">
          <a:schemeClr val="accent4"/>
        </a:fillRef>
        <a:effectRef idx="3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811804</xdr:colOff>
      <xdr:row>125</xdr:row>
      <xdr:rowOff>74706</xdr:rowOff>
    </xdr:from>
    <xdr:to>
      <xdr:col>6</xdr:col>
      <xdr:colOff>308784</xdr:colOff>
      <xdr:row>129</xdr:row>
      <xdr:rowOff>159372</xdr:rowOff>
    </xdr:to>
    <xdr:sp macro="" textlink="">
      <xdr:nvSpPr>
        <xdr:cNvPr id="27" name="Left Brace 26">
          <a:extLst>
            <a:ext uri="{FF2B5EF4-FFF2-40B4-BE49-F238E27FC236}">
              <a16:creationId xmlns:a16="http://schemas.microsoft.com/office/drawing/2014/main" id="{151500CC-014B-1506-21B7-098865207712}"/>
            </a:ext>
          </a:extLst>
        </xdr:cNvPr>
        <xdr:cNvSpPr/>
      </xdr:nvSpPr>
      <xdr:spPr>
        <a:xfrm>
          <a:off x="13539997922" y="23895922"/>
          <a:ext cx="323725" cy="88650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592666</xdr:colOff>
      <xdr:row>149</xdr:row>
      <xdr:rowOff>9961</xdr:rowOff>
    </xdr:from>
    <xdr:to>
      <xdr:col>3</xdr:col>
      <xdr:colOff>662392</xdr:colOff>
      <xdr:row>149</xdr:row>
      <xdr:rowOff>149412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8B7C2DA7-6361-04A1-3452-F517E76C7F75}"/>
            </a:ext>
          </a:extLst>
        </xdr:cNvPr>
        <xdr:cNvCxnSpPr/>
      </xdr:nvCxnSpPr>
      <xdr:spPr>
        <a:xfrm flipV="1">
          <a:off x="13542124549" y="28418118"/>
          <a:ext cx="69726" cy="139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577725</xdr:colOff>
      <xdr:row>149</xdr:row>
      <xdr:rowOff>4980</xdr:rowOff>
    </xdr:from>
    <xdr:to>
      <xdr:col>3</xdr:col>
      <xdr:colOff>597647</xdr:colOff>
      <xdr:row>149</xdr:row>
      <xdr:rowOff>149412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92792746-5514-B06F-B519-208EC8FA4B28}"/>
            </a:ext>
          </a:extLst>
        </xdr:cNvPr>
        <xdr:cNvCxnSpPr/>
      </xdr:nvCxnSpPr>
      <xdr:spPr>
        <a:xfrm flipH="1" flipV="1">
          <a:off x="13542189294" y="28413137"/>
          <a:ext cx="19922" cy="144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507999</xdr:colOff>
      <xdr:row>149</xdr:row>
      <xdr:rowOff>14941</xdr:rowOff>
    </xdr:from>
    <xdr:to>
      <xdr:col>3</xdr:col>
      <xdr:colOff>577725</xdr:colOff>
      <xdr:row>149</xdr:row>
      <xdr:rowOff>154392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C083B620-FB94-83D0-D462-E10184D23FBA}"/>
            </a:ext>
          </a:extLst>
        </xdr:cNvPr>
        <xdr:cNvCxnSpPr/>
      </xdr:nvCxnSpPr>
      <xdr:spPr>
        <a:xfrm flipV="1">
          <a:off x="13542209216" y="28423098"/>
          <a:ext cx="69726" cy="139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493058</xdr:colOff>
      <xdr:row>149</xdr:row>
      <xdr:rowOff>9960</xdr:rowOff>
    </xdr:from>
    <xdr:to>
      <xdr:col>3</xdr:col>
      <xdr:colOff>512980</xdr:colOff>
      <xdr:row>149</xdr:row>
      <xdr:rowOff>154392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F808ED7-D740-D7A5-790D-BA52A43D4F17}"/>
            </a:ext>
          </a:extLst>
        </xdr:cNvPr>
        <xdr:cNvCxnSpPr/>
      </xdr:nvCxnSpPr>
      <xdr:spPr>
        <a:xfrm flipH="1" flipV="1">
          <a:off x="13542273961" y="28418117"/>
          <a:ext cx="19922" cy="144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413372</xdr:colOff>
      <xdr:row>149</xdr:row>
      <xdr:rowOff>9960</xdr:rowOff>
    </xdr:from>
    <xdr:to>
      <xdr:col>3</xdr:col>
      <xdr:colOff>483098</xdr:colOff>
      <xdr:row>149</xdr:row>
      <xdr:rowOff>149411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4E75340F-4668-D9B7-261A-38A7A87D0CF1}"/>
            </a:ext>
          </a:extLst>
        </xdr:cNvPr>
        <xdr:cNvCxnSpPr/>
      </xdr:nvCxnSpPr>
      <xdr:spPr>
        <a:xfrm flipV="1">
          <a:off x="13542303843" y="28418117"/>
          <a:ext cx="69726" cy="139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398431</xdr:colOff>
      <xdr:row>149</xdr:row>
      <xdr:rowOff>4979</xdr:rowOff>
    </xdr:from>
    <xdr:to>
      <xdr:col>3</xdr:col>
      <xdr:colOff>418353</xdr:colOff>
      <xdr:row>149</xdr:row>
      <xdr:rowOff>149411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07CF23CA-F208-DD9F-5318-8567050E5E67}"/>
            </a:ext>
          </a:extLst>
        </xdr:cNvPr>
        <xdr:cNvCxnSpPr/>
      </xdr:nvCxnSpPr>
      <xdr:spPr>
        <a:xfrm flipH="1" flipV="1">
          <a:off x="13542368588" y="28413136"/>
          <a:ext cx="19922" cy="144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333686</xdr:colOff>
      <xdr:row>149</xdr:row>
      <xdr:rowOff>9960</xdr:rowOff>
    </xdr:from>
    <xdr:to>
      <xdr:col>3</xdr:col>
      <xdr:colOff>403412</xdr:colOff>
      <xdr:row>149</xdr:row>
      <xdr:rowOff>149411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4D9CC309-B166-3221-D035-FD327F7A8883}"/>
            </a:ext>
          </a:extLst>
        </xdr:cNvPr>
        <xdr:cNvCxnSpPr/>
      </xdr:nvCxnSpPr>
      <xdr:spPr>
        <a:xfrm flipV="1">
          <a:off x="13542383529" y="28418117"/>
          <a:ext cx="69726" cy="139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318745</xdr:colOff>
      <xdr:row>149</xdr:row>
      <xdr:rowOff>4979</xdr:rowOff>
    </xdr:from>
    <xdr:to>
      <xdr:col>3</xdr:col>
      <xdr:colOff>338667</xdr:colOff>
      <xdr:row>149</xdr:row>
      <xdr:rowOff>149411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C0921A2C-ECC5-DC54-51DD-92CDBB384B79}"/>
            </a:ext>
          </a:extLst>
        </xdr:cNvPr>
        <xdr:cNvCxnSpPr/>
      </xdr:nvCxnSpPr>
      <xdr:spPr>
        <a:xfrm flipH="1" flipV="1">
          <a:off x="13542448274" y="28413136"/>
          <a:ext cx="19922" cy="144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308784</xdr:colOff>
      <xdr:row>149</xdr:row>
      <xdr:rowOff>139451</xdr:rowOff>
    </xdr:from>
    <xdr:to>
      <xdr:col>3</xdr:col>
      <xdr:colOff>672353</xdr:colOff>
      <xdr:row>149</xdr:row>
      <xdr:rowOff>139451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2F4059E1-FB40-3250-2342-BC94A7F99C48}"/>
            </a:ext>
          </a:extLst>
        </xdr:cNvPr>
        <xdr:cNvCxnSpPr/>
      </xdr:nvCxnSpPr>
      <xdr:spPr>
        <a:xfrm>
          <a:off x="13542114588" y="28547608"/>
          <a:ext cx="363569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376695</xdr:colOff>
      <xdr:row>196</xdr:row>
      <xdr:rowOff>177585</xdr:rowOff>
    </xdr:from>
    <xdr:to>
      <xdr:col>6</xdr:col>
      <xdr:colOff>382076</xdr:colOff>
      <xdr:row>209</xdr:row>
      <xdr:rowOff>80720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CEDA278F-5A04-B021-C46B-5DC80CF4F424}"/>
            </a:ext>
          </a:extLst>
        </xdr:cNvPr>
        <xdr:cNvCxnSpPr/>
      </xdr:nvCxnSpPr>
      <xdr:spPr>
        <a:xfrm flipH="1" flipV="1">
          <a:off x="13484294958" y="37400424"/>
          <a:ext cx="5381" cy="235165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597330</xdr:colOff>
      <xdr:row>205</xdr:row>
      <xdr:rowOff>113008</xdr:rowOff>
    </xdr:from>
    <xdr:to>
      <xdr:col>6</xdr:col>
      <xdr:colOff>651144</xdr:colOff>
      <xdr:row>205</xdr:row>
      <xdr:rowOff>123771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C4C7217D-7355-27C7-41A3-6544F27DF7D4}"/>
            </a:ext>
          </a:extLst>
        </xdr:cNvPr>
        <xdr:cNvCxnSpPr/>
      </xdr:nvCxnSpPr>
      <xdr:spPr>
        <a:xfrm flipV="1">
          <a:off x="13484025890" y="39030974"/>
          <a:ext cx="3309534" cy="10763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107628</xdr:colOff>
      <xdr:row>200</xdr:row>
      <xdr:rowOff>48432</xdr:rowOff>
    </xdr:from>
    <xdr:to>
      <xdr:col>6</xdr:col>
      <xdr:colOff>371315</xdr:colOff>
      <xdr:row>207</xdr:row>
      <xdr:rowOff>80721</xdr:rowOff>
    </xdr:to>
    <xdr:sp macro="" textlink="">
      <xdr:nvSpPr>
        <xdr:cNvPr id="56" name="Freeform 55">
          <a:extLst>
            <a:ext uri="{FF2B5EF4-FFF2-40B4-BE49-F238E27FC236}">
              <a16:creationId xmlns:a16="http://schemas.microsoft.com/office/drawing/2014/main" id="{DD4270B4-D2C3-1BCC-37E8-B8DD17F64FC8}"/>
            </a:ext>
          </a:extLst>
        </xdr:cNvPr>
        <xdr:cNvSpPr/>
      </xdr:nvSpPr>
      <xdr:spPr>
        <a:xfrm>
          <a:off x="13484305719" y="38024661"/>
          <a:ext cx="2733729" cy="1350721"/>
        </a:xfrm>
        <a:custGeom>
          <a:avLst/>
          <a:gdLst>
            <a:gd name="connsiteX0" fmla="*/ 0 w 2776780"/>
            <a:gd name="connsiteY0" fmla="*/ 0 h 1329195"/>
            <a:gd name="connsiteX1" fmla="*/ 1156991 w 2776780"/>
            <a:gd name="connsiteY1" fmla="*/ 1017077 h 1329195"/>
            <a:gd name="connsiteX2" fmla="*/ 2776780 w 2776780"/>
            <a:gd name="connsiteY2" fmla="*/ 1329195 h 132919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776780" h="1329195">
              <a:moveTo>
                <a:pt x="0" y="0"/>
              </a:moveTo>
              <a:cubicBezTo>
                <a:pt x="347097" y="397772"/>
                <a:pt x="694194" y="795545"/>
                <a:pt x="1156991" y="1017077"/>
              </a:cubicBezTo>
              <a:cubicBezTo>
                <a:pt x="1619788" y="1238610"/>
                <a:pt x="2198284" y="1283902"/>
                <a:pt x="2776780" y="1329195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182966</xdr:colOff>
      <xdr:row>197</xdr:row>
      <xdr:rowOff>139916</xdr:rowOff>
    </xdr:from>
    <xdr:to>
      <xdr:col>6</xdr:col>
      <xdr:colOff>398220</xdr:colOff>
      <xdr:row>208</xdr:row>
      <xdr:rowOff>139916</xdr:rowOff>
    </xdr:to>
    <xdr:sp macro="" textlink="">
      <xdr:nvSpPr>
        <xdr:cNvPr id="58" name="Freeform 57">
          <a:extLst>
            <a:ext uri="{FF2B5EF4-FFF2-40B4-BE49-F238E27FC236}">
              <a16:creationId xmlns:a16="http://schemas.microsoft.com/office/drawing/2014/main" id="{029F0287-49A3-7967-426B-55AF4C12EB0C}"/>
            </a:ext>
          </a:extLst>
        </xdr:cNvPr>
        <xdr:cNvSpPr/>
      </xdr:nvSpPr>
      <xdr:spPr>
        <a:xfrm>
          <a:off x="13484278814" y="37551102"/>
          <a:ext cx="1861949" cy="2071822"/>
        </a:xfrm>
        <a:custGeom>
          <a:avLst/>
          <a:gdLst>
            <a:gd name="connsiteX0" fmla="*/ 0 w 1861949"/>
            <a:gd name="connsiteY0" fmla="*/ 0 h 2071822"/>
            <a:gd name="connsiteX1" fmla="*/ 527372 w 1861949"/>
            <a:gd name="connsiteY1" fmla="*/ 1173135 h 2071822"/>
            <a:gd name="connsiteX2" fmla="*/ 1861949 w 1861949"/>
            <a:gd name="connsiteY2" fmla="*/ 2071822 h 20718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61949" h="2071822">
              <a:moveTo>
                <a:pt x="0" y="0"/>
              </a:moveTo>
              <a:cubicBezTo>
                <a:pt x="108523" y="413915"/>
                <a:pt x="217047" y="827831"/>
                <a:pt x="527372" y="1173135"/>
              </a:cubicBezTo>
              <a:cubicBezTo>
                <a:pt x="837697" y="1518439"/>
                <a:pt x="1349823" y="1795130"/>
                <a:pt x="1861949" y="2071822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188348</xdr:colOff>
      <xdr:row>201</xdr:row>
      <xdr:rowOff>102246</xdr:rowOff>
    </xdr:from>
    <xdr:to>
      <xdr:col>6</xdr:col>
      <xdr:colOff>382076</xdr:colOff>
      <xdr:row>201</xdr:row>
      <xdr:rowOff>107627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E2EE3129-FB75-94E8-4E1C-71B1FE8CC805}"/>
            </a:ext>
          </a:extLst>
        </xdr:cNvPr>
        <xdr:cNvCxnSpPr/>
      </xdr:nvCxnSpPr>
      <xdr:spPr>
        <a:xfrm flipH="1" flipV="1">
          <a:off x="13484294958" y="38266822"/>
          <a:ext cx="193728" cy="53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139915</xdr:colOff>
      <xdr:row>201</xdr:row>
      <xdr:rowOff>123771</xdr:rowOff>
    </xdr:from>
    <xdr:to>
      <xdr:col>6</xdr:col>
      <xdr:colOff>166822</xdr:colOff>
      <xdr:row>205</xdr:row>
      <xdr:rowOff>118390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B1CCEAAE-161E-8AD2-E3DB-1EDCD9610C70}"/>
            </a:ext>
          </a:extLst>
        </xdr:cNvPr>
        <xdr:cNvCxnSpPr/>
      </xdr:nvCxnSpPr>
      <xdr:spPr>
        <a:xfrm>
          <a:off x="13484510212" y="38288347"/>
          <a:ext cx="26907" cy="74800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661907</xdr:colOff>
      <xdr:row>204</xdr:row>
      <xdr:rowOff>139915</xdr:rowOff>
    </xdr:from>
    <xdr:to>
      <xdr:col>5</xdr:col>
      <xdr:colOff>48432</xdr:colOff>
      <xdr:row>205</xdr:row>
      <xdr:rowOff>91483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B8B70C52-9377-BEBE-DC70-F191037BE3BE}"/>
            </a:ext>
          </a:extLst>
        </xdr:cNvPr>
        <xdr:cNvCxnSpPr/>
      </xdr:nvCxnSpPr>
      <xdr:spPr>
        <a:xfrm flipH="1">
          <a:off x="13485451949" y="38869534"/>
          <a:ext cx="209873" cy="1399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780297</xdr:colOff>
      <xdr:row>206</xdr:row>
      <xdr:rowOff>129152</xdr:rowOff>
    </xdr:from>
    <xdr:to>
      <xdr:col>6</xdr:col>
      <xdr:colOff>156059</xdr:colOff>
      <xdr:row>207</xdr:row>
      <xdr:rowOff>123771</xdr:rowOff>
    </xdr:to>
    <xdr:sp macro="" textlink="">
      <xdr:nvSpPr>
        <xdr:cNvPr id="66" name="Left Brace 65">
          <a:extLst>
            <a:ext uri="{FF2B5EF4-FFF2-40B4-BE49-F238E27FC236}">
              <a16:creationId xmlns:a16="http://schemas.microsoft.com/office/drawing/2014/main" id="{0BB5D6D9-C907-E56C-6EBA-3E741B2F5388}"/>
            </a:ext>
          </a:extLst>
        </xdr:cNvPr>
        <xdr:cNvSpPr/>
      </xdr:nvSpPr>
      <xdr:spPr>
        <a:xfrm rot="16200000">
          <a:off x="13484940721" y="38815720"/>
          <a:ext cx="182966" cy="1022457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529490</xdr:colOff>
      <xdr:row>239</xdr:row>
      <xdr:rowOff>85443</xdr:rowOff>
    </xdr:from>
    <xdr:to>
      <xdr:col>4</xdr:col>
      <xdr:colOff>436562</xdr:colOff>
      <xdr:row>239</xdr:row>
      <xdr:rowOff>87313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264AC512-2163-7FAD-DC78-6858767E2537}"/>
            </a:ext>
          </a:extLst>
        </xdr:cNvPr>
        <xdr:cNvCxnSpPr>
          <a:stCxn id="9" idx="2"/>
        </xdr:cNvCxnSpPr>
      </xdr:nvCxnSpPr>
      <xdr:spPr>
        <a:xfrm flipH="1">
          <a:off x="13521142313" y="45995943"/>
          <a:ext cx="732572" cy="18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666752</xdr:colOff>
      <xdr:row>236</xdr:row>
      <xdr:rowOff>34925</xdr:rowOff>
    </xdr:from>
    <xdr:ext cx="619125" cy="14087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9850E3C0-EE93-7A14-227A-A24322B215CD}"/>
                </a:ext>
              </a:extLst>
            </xdr:cNvPr>
            <xdr:cNvSpPr txBox="1"/>
          </xdr:nvSpPr>
          <xdr:spPr>
            <a:xfrm rot="2675774">
              <a:off x="13521118498" y="45373925"/>
              <a:ext cx="619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𝑁𝑃𝑉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&gt;0</m:t>
                    </m:r>
                  </m:oMath>
                </m:oMathPara>
              </a14:m>
              <a:endParaRPr lang="en-US" sz="900"/>
            </a:p>
          </xdr:txBody>
        </xdr:sp>
      </mc:Choice>
      <mc:Fallback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9850E3C0-EE93-7A14-227A-A24322B215CD}"/>
                </a:ext>
              </a:extLst>
            </xdr:cNvPr>
            <xdr:cNvSpPr txBox="1"/>
          </xdr:nvSpPr>
          <xdr:spPr>
            <a:xfrm rot="2675774">
              <a:off x="13521118498" y="45373925"/>
              <a:ext cx="619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𝑁𝑃𝑉&gt;0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3</xdr:col>
      <xdr:colOff>563564</xdr:colOff>
      <xdr:row>239</xdr:row>
      <xdr:rowOff>138113</xdr:rowOff>
    </xdr:from>
    <xdr:ext cx="619125" cy="14087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DDCA70DD-EDD4-EAE2-DD77-622EA9B27CB3}"/>
                </a:ext>
              </a:extLst>
            </xdr:cNvPr>
            <xdr:cNvSpPr txBox="1"/>
          </xdr:nvSpPr>
          <xdr:spPr>
            <a:xfrm>
              <a:off x="13521221686" y="46048613"/>
              <a:ext cx="619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&lt;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𝐼𝑅𝑅</m:t>
                    </m:r>
                  </m:oMath>
                </m:oMathPara>
              </a14:m>
              <a:endParaRPr lang="en-US" sz="900"/>
            </a:p>
          </xdr:txBody>
        </xdr:sp>
      </mc:Choice>
      <mc:Fallback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DDCA70DD-EDD4-EAE2-DD77-622EA9B27CB3}"/>
                </a:ext>
              </a:extLst>
            </xdr:cNvPr>
            <xdr:cNvSpPr txBox="1"/>
          </xdr:nvSpPr>
          <xdr:spPr>
            <a:xfrm>
              <a:off x="13521221686" y="46048613"/>
              <a:ext cx="619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𝑟𝑎𝑡𝑒&lt;𝐼𝑅𝑅</a:t>
              </a:r>
              <a:endParaRPr lang="en-US" sz="900"/>
            </a:p>
          </xdr:txBody>
        </xdr:sp>
      </mc:Fallback>
    </mc:AlternateContent>
    <xdr:clientData/>
  </xdr:oneCellAnchor>
  <xdr:twoCellAnchor>
    <xdr:from>
      <xdr:col>1</xdr:col>
      <xdr:colOff>682626</xdr:colOff>
      <xdr:row>238</xdr:row>
      <xdr:rowOff>134938</xdr:rowOff>
    </xdr:from>
    <xdr:to>
      <xdr:col>3</xdr:col>
      <xdr:colOff>222250</xdr:colOff>
      <xdr:row>238</xdr:row>
      <xdr:rowOff>142875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8DE12AC9-9518-CFD9-2198-A6613437CB76}"/>
            </a:ext>
          </a:extLst>
        </xdr:cNvPr>
        <xdr:cNvCxnSpPr/>
      </xdr:nvCxnSpPr>
      <xdr:spPr>
        <a:xfrm>
          <a:off x="13522182125" y="45854938"/>
          <a:ext cx="1150937" cy="793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63502</xdr:colOff>
      <xdr:row>238</xdr:row>
      <xdr:rowOff>169862</xdr:rowOff>
    </xdr:from>
    <xdr:ext cx="619125" cy="14087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A70631AB-A1D0-8089-667E-FD9D72A1EBF1}"/>
                </a:ext>
              </a:extLst>
            </xdr:cNvPr>
            <xdr:cNvSpPr txBox="1"/>
          </xdr:nvSpPr>
          <xdr:spPr>
            <a:xfrm>
              <a:off x="13522507561" y="45889862"/>
              <a:ext cx="619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&gt;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𝐼𝑅𝑅</m:t>
                    </m:r>
                  </m:oMath>
                </m:oMathPara>
              </a14:m>
              <a:endParaRPr lang="en-US" sz="900"/>
            </a:p>
          </xdr:txBody>
        </xdr:sp>
      </mc:Choice>
      <mc:Fallback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A70631AB-A1D0-8089-667E-FD9D72A1EBF1}"/>
                </a:ext>
              </a:extLst>
            </xdr:cNvPr>
            <xdr:cNvSpPr txBox="1"/>
          </xdr:nvSpPr>
          <xdr:spPr>
            <a:xfrm>
              <a:off x="13522507561" y="45889862"/>
              <a:ext cx="619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𝑟𝑎𝑡𝑒&gt;𝐼𝑅𝑅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2</xdr:col>
      <xdr:colOff>3</xdr:colOff>
      <xdr:row>240</xdr:row>
      <xdr:rowOff>66675</xdr:rowOff>
    </xdr:from>
    <xdr:ext cx="619125" cy="14087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1D3F2EC1-9054-FEDD-A683-241DC9F834FD}"/>
                </a:ext>
              </a:extLst>
            </xdr:cNvPr>
            <xdr:cNvSpPr txBox="1"/>
          </xdr:nvSpPr>
          <xdr:spPr>
            <a:xfrm rot="1020660">
              <a:off x="13522571060" y="46183550"/>
              <a:ext cx="619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𝑁𝑃𝑉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&lt;0</m:t>
                    </m:r>
                  </m:oMath>
                </m:oMathPara>
              </a14:m>
              <a:endParaRPr lang="en-US" sz="900"/>
            </a:p>
          </xdr:txBody>
        </xdr:sp>
      </mc:Choice>
      <mc:Fallback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1D3F2EC1-9054-FEDD-A683-241DC9F834FD}"/>
                </a:ext>
              </a:extLst>
            </xdr:cNvPr>
            <xdr:cNvSpPr txBox="1"/>
          </xdr:nvSpPr>
          <xdr:spPr>
            <a:xfrm rot="1020660">
              <a:off x="13522571060" y="46183550"/>
              <a:ext cx="619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𝑁𝑃𝑉&lt;0</a:t>
              </a:r>
              <a:endParaRPr lang="en-US" sz="900"/>
            </a:p>
          </xdr:txBody>
        </xdr:sp>
      </mc:Fallback>
    </mc:AlternateContent>
    <xdr:clientData/>
  </xdr:oneCellAnchor>
  <xdr:twoCellAnchor editAs="oneCell">
    <xdr:from>
      <xdr:col>10</xdr:col>
      <xdr:colOff>444501</xdr:colOff>
      <xdr:row>260</xdr:row>
      <xdr:rowOff>127000</xdr:rowOff>
    </xdr:from>
    <xdr:to>
      <xdr:col>12</xdr:col>
      <xdr:colOff>99596</xdr:colOff>
      <xdr:row>265</xdr:row>
      <xdr:rowOff>174625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C1731089-E5B0-C9ED-36AB-C3449B0BDB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4946717" y="50053875"/>
          <a:ext cx="1179095" cy="1000125"/>
        </a:xfrm>
        <a:prstGeom prst="rect">
          <a:avLst/>
        </a:prstGeom>
      </xdr:spPr>
    </xdr:pic>
    <xdr:clientData/>
  </xdr:twoCellAnchor>
  <xdr:twoCellAnchor>
    <xdr:from>
      <xdr:col>12</xdr:col>
      <xdr:colOff>111125</xdr:colOff>
      <xdr:row>254</xdr:row>
      <xdr:rowOff>111125</xdr:rowOff>
    </xdr:from>
    <xdr:to>
      <xdr:col>15</xdr:col>
      <xdr:colOff>579437</xdr:colOff>
      <xdr:row>264</xdr:row>
      <xdr:rowOff>87313</xdr:rowOff>
    </xdr:to>
    <xdr:sp macro="" textlink="">
      <xdr:nvSpPr>
        <xdr:cNvPr id="65" name="Rounded Rectangular Callout 64">
          <a:extLst>
            <a:ext uri="{FF2B5EF4-FFF2-40B4-BE49-F238E27FC236}">
              <a16:creationId xmlns:a16="http://schemas.microsoft.com/office/drawing/2014/main" id="{B8036910-ECF3-5165-048E-BEA020CDF076}"/>
            </a:ext>
          </a:extLst>
        </xdr:cNvPr>
        <xdr:cNvSpPr/>
      </xdr:nvSpPr>
      <xdr:spPr>
        <a:xfrm>
          <a:off x="13512030063" y="48895000"/>
          <a:ext cx="2905125" cy="1881188"/>
        </a:xfrm>
        <a:prstGeom prst="wedgeRoundRectCallout">
          <a:avLst>
            <a:gd name="adj1" fmla="val 55883"/>
            <a:gd name="adj2" fmla="val 3250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אם היה נדרש לבחור בפרויקט בודד וזה הכל, ללא שילובים וללא השקעה בין חלקי פרויקטים, כלל ההכרעה היה פשוט: נחשב</a:t>
          </a:r>
          <a:r>
            <a:rPr lang="he-IL" sz="1100" baseline="0"/>
            <a:t> </a:t>
          </a:r>
          <a:r>
            <a:rPr lang="en-US" sz="1100" baseline="0"/>
            <a:t>NPV </a:t>
          </a:r>
          <a:r>
            <a:rPr lang="he-IL" sz="1100" baseline="0"/>
            <a:t> לכל פרויקט, ונבחר בזה שה-</a:t>
          </a:r>
          <a:r>
            <a:rPr lang="en-US" sz="1100" baseline="0"/>
            <a:t>NPV</a:t>
          </a:r>
          <a:r>
            <a:rPr lang="he-IL" sz="1100" baseline="0"/>
            <a:t> שלו הוא הגבוה ביותר.</a:t>
          </a:r>
        </a:p>
        <a:p>
          <a:pPr algn="r" rtl="1"/>
          <a:endParaRPr lang="he-IL" sz="1100" baseline="0"/>
        </a:p>
        <a:p>
          <a:pPr algn="r" rtl="1"/>
          <a:r>
            <a:rPr lang="he-IL" sz="1100" baseline="0"/>
            <a:t>כאן - זה לא המצב. אפשר לייצר מיקס מהפרויקטים - המטרה לייצר ״סל״ פרויקטים שבסך הכל ייתן את ה-</a:t>
          </a:r>
          <a:r>
            <a:rPr lang="en-US" sz="1100" baseline="0"/>
            <a:t>NPV</a:t>
          </a:r>
          <a:r>
            <a:rPr lang="he-IL" sz="1100" baseline="0"/>
            <a:t> הכי גבוה שאפשר להגיע אליו. </a:t>
          </a:r>
        </a:p>
        <a:p>
          <a:pPr algn="r" rtl="1"/>
          <a:endParaRPr lang="he-IL" sz="1100" baseline="0"/>
        </a:p>
        <a:p>
          <a:pPr algn="r" rtl="1"/>
          <a:endParaRPr lang="en-US" sz="1100"/>
        </a:p>
      </xdr:txBody>
    </xdr:sp>
    <xdr:clientData/>
  </xdr:twoCellAnchor>
  <xdr:oneCellAnchor>
    <xdr:from>
      <xdr:col>10</xdr:col>
      <xdr:colOff>254001</xdr:colOff>
      <xdr:row>287</xdr:row>
      <xdr:rowOff>66675</xdr:rowOff>
    </xdr:from>
    <xdr:ext cx="1519356" cy="31579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AF87B2C6-8540-4735-CC2E-CC78769C12D3}"/>
                </a:ext>
              </a:extLst>
            </xdr:cNvPr>
            <xdr:cNvSpPr txBox="1"/>
          </xdr:nvSpPr>
          <xdr:spPr>
            <a:xfrm>
              <a:off x="13514796956" y="56367363"/>
              <a:ext cx="1519356" cy="3157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𝑁𝑃𝑉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𝐼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AF87B2C6-8540-4735-CC2E-CC78769C12D3}"/>
                </a:ext>
              </a:extLst>
            </xdr:cNvPr>
            <xdr:cNvSpPr txBox="1"/>
          </xdr:nvSpPr>
          <xdr:spPr>
            <a:xfrm>
              <a:off x="13514796956" y="56367363"/>
              <a:ext cx="1519356" cy="3157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𝑃𝐼=𝑁𝑃𝑉/𝐼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190500</xdr:colOff>
      <xdr:row>284</xdr:row>
      <xdr:rowOff>0</xdr:rowOff>
    </xdr:from>
    <xdr:to>
      <xdr:col>11</xdr:col>
      <xdr:colOff>508000</xdr:colOff>
      <xdr:row>286</xdr:row>
      <xdr:rowOff>174625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9F3A022A-17B8-F079-44B4-34433FB3002D}"/>
            </a:ext>
          </a:extLst>
        </xdr:cNvPr>
        <xdr:cNvCxnSpPr/>
      </xdr:nvCxnSpPr>
      <xdr:spPr>
        <a:xfrm flipH="1" flipV="1">
          <a:off x="13515363813" y="55729188"/>
          <a:ext cx="317500" cy="5556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206375</xdr:colOff>
      <xdr:row>289</xdr:row>
      <xdr:rowOff>31750</xdr:rowOff>
    </xdr:from>
    <xdr:to>
      <xdr:col>11</xdr:col>
      <xdr:colOff>547688</xdr:colOff>
      <xdr:row>290</xdr:row>
      <xdr:rowOff>166687</xdr:rowOff>
    </xdr:to>
    <xdr:cxnSp macro="">
      <xdr:nvCxnSpPr>
        <xdr:cNvPr id="70" name="Straight Arrow Connector 69">
          <a:extLst>
            <a:ext uri="{FF2B5EF4-FFF2-40B4-BE49-F238E27FC236}">
              <a16:creationId xmlns:a16="http://schemas.microsoft.com/office/drawing/2014/main" id="{5B78F962-DC24-FE87-12CA-AB4836DD1180}"/>
            </a:ext>
          </a:extLst>
        </xdr:cNvPr>
        <xdr:cNvCxnSpPr/>
      </xdr:nvCxnSpPr>
      <xdr:spPr>
        <a:xfrm flipH="1">
          <a:off x="13515324125" y="56713438"/>
          <a:ext cx="341313" cy="32543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658812</xdr:colOff>
      <xdr:row>288</xdr:row>
      <xdr:rowOff>39688</xdr:rowOff>
    </xdr:from>
    <xdr:to>
      <xdr:col>12</xdr:col>
      <xdr:colOff>690563</xdr:colOff>
      <xdr:row>288</xdr:row>
      <xdr:rowOff>79375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BFBE6FD8-B1FF-1ADE-1E7A-6A446983EA9C}"/>
            </a:ext>
          </a:extLst>
        </xdr:cNvPr>
        <xdr:cNvCxnSpPr/>
      </xdr:nvCxnSpPr>
      <xdr:spPr>
        <a:xfrm flipH="1">
          <a:off x="13514355750" y="56530876"/>
          <a:ext cx="857251" cy="3968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1206500</xdr:colOff>
      <xdr:row>277</xdr:row>
      <xdr:rowOff>452438</xdr:rowOff>
    </xdr:from>
    <xdr:to>
      <xdr:col>10</xdr:col>
      <xdr:colOff>619125</xdr:colOff>
      <xdr:row>277</xdr:row>
      <xdr:rowOff>1000125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141B1514-76DE-DE5A-2AEB-F9239F35D34B}"/>
            </a:ext>
          </a:extLst>
        </xdr:cNvPr>
        <xdr:cNvCxnSpPr/>
      </xdr:nvCxnSpPr>
      <xdr:spPr>
        <a:xfrm flipH="1">
          <a:off x="13515951188" y="53617813"/>
          <a:ext cx="1944687" cy="547687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1246187</xdr:colOff>
      <xdr:row>299</xdr:row>
      <xdr:rowOff>134938</xdr:rowOff>
    </xdr:from>
    <xdr:to>
      <xdr:col>8</xdr:col>
      <xdr:colOff>238125</xdr:colOff>
      <xdr:row>301</xdr:row>
      <xdr:rowOff>79375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4DBDFF37-3386-7E4F-5CC9-D8486136956A}"/>
            </a:ext>
          </a:extLst>
        </xdr:cNvPr>
        <xdr:cNvCxnSpPr/>
      </xdr:nvCxnSpPr>
      <xdr:spPr>
        <a:xfrm flipH="1">
          <a:off x="13517514875" y="58935938"/>
          <a:ext cx="341313" cy="32543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1008062</xdr:colOff>
      <xdr:row>297</xdr:row>
      <xdr:rowOff>95250</xdr:rowOff>
    </xdr:from>
    <xdr:to>
      <xdr:col>8</xdr:col>
      <xdr:colOff>87312</xdr:colOff>
      <xdr:row>299</xdr:row>
      <xdr:rowOff>31750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7C45264D-7390-439A-273E-323897BC71B8}"/>
            </a:ext>
          </a:extLst>
        </xdr:cNvPr>
        <xdr:cNvCxnSpPr/>
      </xdr:nvCxnSpPr>
      <xdr:spPr>
        <a:xfrm flipH="1" flipV="1">
          <a:off x="13517665688" y="58515250"/>
          <a:ext cx="428625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269875</xdr:colOff>
      <xdr:row>299</xdr:row>
      <xdr:rowOff>166688</xdr:rowOff>
    </xdr:from>
    <xdr:to>
      <xdr:col>7</xdr:col>
      <xdr:colOff>619125</xdr:colOff>
      <xdr:row>300</xdr:row>
      <xdr:rowOff>182563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EECF2A9A-304C-C128-2024-32A7DB3FA47F}"/>
            </a:ext>
          </a:extLst>
        </xdr:cNvPr>
        <xdr:cNvCxnSpPr/>
      </xdr:nvCxnSpPr>
      <xdr:spPr>
        <a:xfrm>
          <a:off x="13518483250" y="58967688"/>
          <a:ext cx="349250" cy="2063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198437</xdr:colOff>
      <xdr:row>297</xdr:row>
      <xdr:rowOff>7938</xdr:rowOff>
    </xdr:from>
    <xdr:to>
      <xdr:col>14</xdr:col>
      <xdr:colOff>603250</xdr:colOff>
      <xdr:row>306</xdr:row>
      <xdr:rowOff>31750</xdr:rowOff>
    </xdr:to>
    <xdr:sp macro="" textlink="">
      <xdr:nvSpPr>
        <xdr:cNvPr id="84" name="Left Brace 83">
          <a:extLst>
            <a:ext uri="{FF2B5EF4-FFF2-40B4-BE49-F238E27FC236}">
              <a16:creationId xmlns:a16="http://schemas.microsoft.com/office/drawing/2014/main" id="{3E30F927-234E-3D71-CB66-95A44B9C9926}"/>
            </a:ext>
          </a:extLst>
        </xdr:cNvPr>
        <xdr:cNvSpPr/>
      </xdr:nvSpPr>
      <xdr:spPr>
        <a:xfrm>
          <a:off x="13512831750" y="58427938"/>
          <a:ext cx="404813" cy="976312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4</xdr:col>
      <xdr:colOff>423334</xdr:colOff>
      <xdr:row>469</xdr:row>
      <xdr:rowOff>1682</xdr:rowOff>
    </xdr:from>
    <xdr:to>
      <xdr:col>7</xdr:col>
      <xdr:colOff>204612</xdr:colOff>
      <xdr:row>476</xdr:row>
      <xdr:rowOff>32456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C2DE3B8A-2C02-AD5F-891F-99BC1312D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895999" y="91152404"/>
          <a:ext cx="2257778" cy="136427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68326</xdr:colOff>
      <xdr:row>28</xdr:row>
      <xdr:rowOff>154066</xdr:rowOff>
    </xdr:from>
    <xdr:to>
      <xdr:col>7</xdr:col>
      <xdr:colOff>855400</xdr:colOff>
      <xdr:row>36</xdr:row>
      <xdr:rowOff>52706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90FF36-BF7E-644A-9D0A-18814081C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259041" y="6097666"/>
          <a:ext cx="1613333" cy="1422641"/>
        </a:xfrm>
        <a:prstGeom prst="rect">
          <a:avLst/>
        </a:prstGeom>
      </xdr:spPr>
    </xdr:pic>
    <xdr:clientData/>
  </xdr:twoCellAnchor>
  <xdr:twoCellAnchor>
    <xdr:from>
      <xdr:col>2</xdr:col>
      <xdr:colOff>92734</xdr:colOff>
      <xdr:row>94</xdr:row>
      <xdr:rowOff>44809</xdr:rowOff>
    </xdr:from>
    <xdr:to>
      <xdr:col>2</xdr:col>
      <xdr:colOff>732814</xdr:colOff>
      <xdr:row>94</xdr:row>
      <xdr:rowOff>176889</xdr:rowOff>
    </xdr:to>
    <xdr:sp macro="" textlink="">
      <xdr:nvSpPr>
        <xdr:cNvPr id="3" name="Left Arrow 2">
          <a:extLst>
            <a:ext uri="{FF2B5EF4-FFF2-40B4-BE49-F238E27FC236}">
              <a16:creationId xmlns:a16="http://schemas.microsoft.com/office/drawing/2014/main" id="{DA4A7D5E-09FD-774C-BB0F-65E7DB77536E}"/>
            </a:ext>
          </a:extLst>
        </xdr:cNvPr>
        <xdr:cNvSpPr/>
      </xdr:nvSpPr>
      <xdr:spPr>
        <a:xfrm>
          <a:off x="13523509886" y="19501209"/>
          <a:ext cx="640080" cy="132080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857250</xdr:colOff>
      <xdr:row>13</xdr:row>
      <xdr:rowOff>0</xdr:rowOff>
    </xdr:from>
    <xdr:to>
      <xdr:col>0</xdr:col>
      <xdr:colOff>1155700</xdr:colOff>
      <xdr:row>17</xdr:row>
      <xdr:rowOff>50800</xdr:rowOff>
    </xdr:to>
    <xdr:sp macro="" textlink="">
      <xdr:nvSpPr>
        <xdr:cNvPr id="4" name="Left Brace 3">
          <a:extLst>
            <a:ext uri="{FF2B5EF4-FFF2-40B4-BE49-F238E27FC236}">
              <a16:creationId xmlns:a16="http://schemas.microsoft.com/office/drawing/2014/main" id="{64EA5DC7-23AA-524F-97B0-04C2948A3B40}"/>
            </a:ext>
          </a:extLst>
        </xdr:cNvPr>
        <xdr:cNvSpPr/>
      </xdr:nvSpPr>
      <xdr:spPr>
        <a:xfrm>
          <a:off x="13525068200" y="2641600"/>
          <a:ext cx="6350" cy="8890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27516</xdr:colOff>
      <xdr:row>24</xdr:row>
      <xdr:rowOff>73025</xdr:rowOff>
    </xdr:from>
    <xdr:to>
      <xdr:col>7</xdr:col>
      <xdr:colOff>583046</xdr:colOff>
      <xdr:row>44</xdr:row>
      <xdr:rowOff>122283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41E813-E934-8E43-ADA8-6946FDAC3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92078400" y="4602692"/>
          <a:ext cx="6330951" cy="401922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73</xdr:row>
      <xdr:rowOff>76200</xdr:rowOff>
    </xdr:from>
    <xdr:to>
      <xdr:col>7</xdr:col>
      <xdr:colOff>554398</xdr:colOff>
      <xdr:row>94</xdr:row>
      <xdr:rowOff>136368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BCEEFA-5F38-6644-931A-7685CCF3B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92107048" y="17170400"/>
          <a:ext cx="6310769" cy="422486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8467</xdr:colOff>
      <xdr:row>95</xdr:row>
      <xdr:rowOff>47625</xdr:rowOff>
    </xdr:from>
    <xdr:to>
      <xdr:col>7</xdr:col>
      <xdr:colOff>533608</xdr:colOff>
      <xdr:row>101</xdr:row>
      <xdr:rowOff>33868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5B76D5-BDAE-234D-8162-5DBA0ECDA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92127838" y="21425958"/>
          <a:ext cx="6300562" cy="115464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38101</xdr:colOff>
      <xdr:row>136</xdr:row>
      <xdr:rowOff>104775</xdr:rowOff>
    </xdr:from>
    <xdr:to>
      <xdr:col>7</xdr:col>
      <xdr:colOff>430647</xdr:colOff>
      <xdr:row>148</xdr:row>
      <xdr:rowOff>161763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18D7D7-721A-0645-B1E3-C4421BA79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92078399" y="29755042"/>
          <a:ext cx="6167967" cy="24086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185</xdr:row>
      <xdr:rowOff>70909</xdr:rowOff>
    </xdr:from>
    <xdr:to>
      <xdr:col>7</xdr:col>
      <xdr:colOff>560821</xdr:colOff>
      <xdr:row>200</xdr:row>
      <xdr:rowOff>137300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D22FFF-E8A8-AC43-AA01-8B30F8BC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92100625" y="44216109"/>
          <a:ext cx="6336242" cy="298739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230</xdr:row>
      <xdr:rowOff>19051</xdr:rowOff>
    </xdr:from>
    <xdr:to>
      <xdr:col>7</xdr:col>
      <xdr:colOff>587579</xdr:colOff>
      <xdr:row>245</xdr:row>
      <xdr:rowOff>160869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741AE9-EBE1-7742-850D-FCC9800D1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92054817" y="52808718"/>
          <a:ext cx="6363000" cy="306281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12700</xdr:colOff>
      <xdr:row>291</xdr:row>
      <xdr:rowOff>48683</xdr:rowOff>
    </xdr:from>
    <xdr:to>
      <xdr:col>7</xdr:col>
      <xdr:colOff>566113</xdr:colOff>
      <xdr:row>308</xdr:row>
      <xdr:rowOff>27855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6104D0-6FFA-6448-B627-757D03F2C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92095333" y="59510083"/>
          <a:ext cx="6328834" cy="32896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338</xdr:row>
      <xdr:rowOff>6350</xdr:rowOff>
    </xdr:from>
    <xdr:to>
      <xdr:col>7</xdr:col>
      <xdr:colOff>566113</xdr:colOff>
      <xdr:row>353</xdr:row>
      <xdr:rowOff>132237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EA0973-A9AE-FA44-A069-E5833F0F5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92095333" y="70846950"/>
          <a:ext cx="6341534" cy="304688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378</xdr:row>
      <xdr:rowOff>22147</xdr:rowOff>
    </xdr:from>
    <xdr:to>
      <xdr:col>7</xdr:col>
      <xdr:colOff>566113</xdr:colOff>
      <xdr:row>392</xdr:row>
      <xdr:rowOff>125583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E5E085-66CA-5642-B276-92396039E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92095333" y="78669014"/>
          <a:ext cx="6341534" cy="282970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433</xdr:row>
      <xdr:rowOff>37043</xdr:rowOff>
    </xdr:from>
    <xdr:to>
      <xdr:col>7</xdr:col>
      <xdr:colOff>587529</xdr:colOff>
      <xdr:row>446</xdr:row>
      <xdr:rowOff>186268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A7DA2CE-C1FE-6443-85E6-575681247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92127892" y="86684910"/>
          <a:ext cx="6410575" cy="26807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4234</xdr:colOff>
      <xdr:row>477</xdr:row>
      <xdr:rowOff>66675</xdr:rowOff>
    </xdr:from>
    <xdr:to>
      <xdr:col>7</xdr:col>
      <xdr:colOff>587280</xdr:colOff>
      <xdr:row>491</xdr:row>
      <xdr:rowOff>1052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19CA7E-03AC-5043-AC4A-5A083692B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92137666" y="95350542"/>
          <a:ext cx="6396567" cy="265734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22225</xdr:colOff>
      <xdr:row>527</xdr:row>
      <xdr:rowOff>91016</xdr:rowOff>
    </xdr:from>
    <xdr:to>
      <xdr:col>8</xdr:col>
      <xdr:colOff>3079</xdr:colOff>
      <xdr:row>540</xdr:row>
      <xdr:rowOff>58491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D71CCF-4E7E-9C45-88EA-1FA02D33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92112267" y="105128483"/>
          <a:ext cx="6403975" cy="249900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28576</xdr:colOff>
      <xdr:row>632</xdr:row>
      <xdr:rowOff>76200</xdr:rowOff>
    </xdr:from>
    <xdr:to>
      <xdr:col>8</xdr:col>
      <xdr:colOff>1678</xdr:colOff>
      <xdr:row>642</xdr:row>
      <xdr:rowOff>118535</xdr:rowOff>
    </xdr:to>
    <xdr:pic>
      <xdr:nvPicPr>
        <xdr:cNvPr id="16" name="תמונה 6" descr="תמונה שמכילה טקסט&#10;&#10;התיאור נוצר באופן אוטומטי">
          <a:extLst>
            <a:ext uri="{FF2B5EF4-FFF2-40B4-BE49-F238E27FC236}">
              <a16:creationId xmlns:a16="http://schemas.microsoft.com/office/drawing/2014/main" id="{EC1E602C-3952-A14C-A0B8-2575200D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92094618" y="125645333"/>
          <a:ext cx="6415273" cy="1989667"/>
        </a:xfrm>
        <a:prstGeom prst="rect">
          <a:avLst/>
        </a:prstGeom>
      </xdr:spPr>
    </xdr:pic>
    <xdr:clientData/>
  </xdr:twoCellAnchor>
  <xdr:twoCellAnchor>
    <xdr:from>
      <xdr:col>3</xdr:col>
      <xdr:colOff>482601</xdr:colOff>
      <xdr:row>67</xdr:row>
      <xdr:rowOff>177800</xdr:rowOff>
    </xdr:from>
    <xdr:to>
      <xdr:col>4</xdr:col>
      <xdr:colOff>25400</xdr:colOff>
      <xdr:row>69</xdr:row>
      <xdr:rowOff>59266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C07F308-2AB1-C9F0-8EDA-401743AAF1CC}"/>
            </a:ext>
          </a:extLst>
        </xdr:cNvPr>
        <xdr:cNvCxnSpPr/>
      </xdr:nvCxnSpPr>
      <xdr:spPr>
        <a:xfrm flipV="1">
          <a:off x="11094745400" y="13097933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482601</xdr:colOff>
      <xdr:row>67</xdr:row>
      <xdr:rowOff>194733</xdr:rowOff>
    </xdr:from>
    <xdr:to>
      <xdr:col>3</xdr:col>
      <xdr:colOff>42334</xdr:colOff>
      <xdr:row>69</xdr:row>
      <xdr:rowOff>76199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1B0E1AC9-AD73-F6F2-8066-49AA47CAAB88}"/>
            </a:ext>
          </a:extLst>
        </xdr:cNvPr>
        <xdr:cNvCxnSpPr/>
      </xdr:nvCxnSpPr>
      <xdr:spPr>
        <a:xfrm flipV="1">
          <a:off x="11095558200" y="13114866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584201</xdr:colOff>
      <xdr:row>163</xdr:row>
      <xdr:rowOff>118534</xdr:rowOff>
    </xdr:from>
    <xdr:to>
      <xdr:col>3</xdr:col>
      <xdr:colOff>8467</xdr:colOff>
      <xdr:row>163</xdr:row>
      <xdr:rowOff>118534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BE3DF0FE-7884-E236-52DE-FBF18ADDF1BD}"/>
            </a:ext>
          </a:extLst>
        </xdr:cNvPr>
        <xdr:cNvCxnSpPr/>
      </xdr:nvCxnSpPr>
      <xdr:spPr>
        <a:xfrm>
          <a:off x="11095592067" y="37397267"/>
          <a:ext cx="23706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609601</xdr:colOff>
      <xdr:row>210</xdr:row>
      <xdr:rowOff>135466</xdr:rowOff>
    </xdr:from>
    <xdr:to>
      <xdr:col>3</xdr:col>
      <xdr:colOff>67734</xdr:colOff>
      <xdr:row>212</xdr:row>
      <xdr:rowOff>33866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A901EFE2-A05E-5291-F775-4A4AA95107BD}"/>
            </a:ext>
          </a:extLst>
        </xdr:cNvPr>
        <xdr:cNvCxnSpPr/>
      </xdr:nvCxnSpPr>
      <xdr:spPr>
        <a:xfrm flipV="1">
          <a:off x="11095532800" y="491659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524934</xdr:colOff>
      <xdr:row>210</xdr:row>
      <xdr:rowOff>160866</xdr:rowOff>
    </xdr:from>
    <xdr:to>
      <xdr:col>2</xdr:col>
      <xdr:colOff>33867</xdr:colOff>
      <xdr:row>212</xdr:row>
      <xdr:rowOff>59266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59DDB5EC-321F-BA79-654B-13E1B59FE665}"/>
            </a:ext>
          </a:extLst>
        </xdr:cNvPr>
        <xdr:cNvCxnSpPr/>
      </xdr:nvCxnSpPr>
      <xdr:spPr>
        <a:xfrm flipV="1">
          <a:off x="11096379467" y="491913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256</xdr:row>
      <xdr:rowOff>33866</xdr:rowOff>
    </xdr:from>
    <xdr:to>
      <xdr:col>3</xdr:col>
      <xdr:colOff>16934</xdr:colOff>
      <xdr:row>257</xdr:row>
      <xdr:rowOff>33866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4F004BD-2064-290D-6939-6870CB2730D3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318</xdr:row>
      <xdr:rowOff>33866</xdr:rowOff>
    </xdr:from>
    <xdr:to>
      <xdr:col>3</xdr:col>
      <xdr:colOff>16934</xdr:colOff>
      <xdr:row>319</xdr:row>
      <xdr:rowOff>33866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72AC678-2274-124F-B2B4-94DA39CE1CC4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626534</xdr:colOff>
      <xdr:row>318</xdr:row>
      <xdr:rowOff>33866</xdr:rowOff>
    </xdr:from>
    <xdr:to>
      <xdr:col>2</xdr:col>
      <xdr:colOff>16934</xdr:colOff>
      <xdr:row>319</xdr:row>
      <xdr:rowOff>33866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FE831D3-4F11-1541-87EE-0D78CB9C05AC}"/>
            </a:ext>
          </a:extLst>
        </xdr:cNvPr>
        <xdr:cNvCxnSpPr/>
      </xdr:nvCxnSpPr>
      <xdr:spPr>
        <a:xfrm>
          <a:off x="11095583600" y="66937466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855134</xdr:colOff>
      <xdr:row>458</xdr:row>
      <xdr:rowOff>152400</xdr:rowOff>
    </xdr:from>
    <xdr:to>
      <xdr:col>3</xdr:col>
      <xdr:colOff>59267</xdr:colOff>
      <xdr:row>460</xdr:row>
      <xdr:rowOff>76200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23309882-4AEE-DF42-82B9-114ECCF13C05}"/>
            </a:ext>
          </a:extLst>
        </xdr:cNvPr>
        <xdr:cNvCxnSpPr/>
      </xdr:nvCxnSpPr>
      <xdr:spPr>
        <a:xfrm flipV="1">
          <a:off x="11095541267" y="91685533"/>
          <a:ext cx="118533" cy="330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160867</xdr:colOff>
      <xdr:row>588</xdr:row>
      <xdr:rowOff>120750</xdr:rowOff>
    </xdr:from>
    <xdr:to>
      <xdr:col>8</xdr:col>
      <xdr:colOff>770</xdr:colOff>
      <xdr:row>598</xdr:row>
      <xdr:rowOff>138955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AA72A50-3E67-0638-A3DF-2C3068300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092086867" y="117104683"/>
          <a:ext cx="6290733" cy="1965538"/>
        </a:xfrm>
        <a:prstGeom prst="rect">
          <a:avLst/>
        </a:prstGeom>
      </xdr:spPr>
    </xdr:pic>
    <xdr:clientData/>
  </xdr:twoCellAnchor>
  <xdr:twoCellAnchor>
    <xdr:from>
      <xdr:col>2</xdr:col>
      <xdr:colOff>409863</xdr:colOff>
      <xdr:row>264</xdr:row>
      <xdr:rowOff>132773</xdr:rowOff>
    </xdr:from>
    <xdr:to>
      <xdr:col>3</xdr:col>
      <xdr:colOff>5773</xdr:colOff>
      <xdr:row>265</xdr:row>
      <xdr:rowOff>103909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60ACA727-A66D-D6A4-B209-9463DA236CDC}"/>
            </a:ext>
          </a:extLst>
        </xdr:cNvPr>
        <xdr:cNvCxnSpPr/>
      </xdr:nvCxnSpPr>
      <xdr:spPr>
        <a:xfrm flipV="1">
          <a:off x="11064066818" y="58702864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415636</xdr:colOff>
      <xdr:row>271</xdr:row>
      <xdr:rowOff>138546</xdr:rowOff>
    </xdr:from>
    <xdr:to>
      <xdr:col>3</xdr:col>
      <xdr:colOff>11546</xdr:colOff>
      <xdr:row>272</xdr:row>
      <xdr:rowOff>109681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4028F8D0-6A2A-33D1-9135-2CAEBA576C13}"/>
            </a:ext>
          </a:extLst>
        </xdr:cNvPr>
        <xdr:cNvCxnSpPr/>
      </xdr:nvCxnSpPr>
      <xdr:spPr>
        <a:xfrm flipV="1">
          <a:off x="11064061045" y="60122955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103909</xdr:colOff>
      <xdr:row>273</xdr:row>
      <xdr:rowOff>5773</xdr:rowOff>
    </xdr:from>
    <xdr:to>
      <xdr:col>2</xdr:col>
      <xdr:colOff>254000</xdr:colOff>
      <xdr:row>273</xdr:row>
      <xdr:rowOff>184728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AAF9B8FD-9A54-79AD-1E97-6B4807667303}"/>
            </a:ext>
          </a:extLst>
        </xdr:cNvPr>
        <xdr:cNvSpPr/>
      </xdr:nvSpPr>
      <xdr:spPr>
        <a:xfrm>
          <a:off x="11064655636" y="60596318"/>
          <a:ext cx="150091" cy="17895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589217</xdr:colOff>
      <xdr:row>31</xdr:row>
      <xdr:rowOff>163229</xdr:rowOff>
    </xdr:from>
    <xdr:to>
      <xdr:col>11</xdr:col>
      <xdr:colOff>67680</xdr:colOff>
      <xdr:row>33</xdr:row>
      <xdr:rowOff>59718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4E87DAB-BBFC-E0DF-7F47-6B604A3322B5}"/>
            </a:ext>
          </a:extLst>
        </xdr:cNvPr>
        <xdr:cNvCxnSpPr/>
      </xdr:nvCxnSpPr>
      <xdr:spPr>
        <a:xfrm flipV="1">
          <a:off x="11016087492" y="618279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537461</xdr:colOff>
      <xdr:row>31</xdr:row>
      <xdr:rowOff>195079</xdr:rowOff>
    </xdr:from>
    <xdr:to>
      <xdr:col>10</xdr:col>
      <xdr:colOff>15925</xdr:colOff>
      <xdr:row>33</xdr:row>
      <xdr:rowOff>91568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CBD36CEB-EB9A-7E52-9232-B167911B7E84}"/>
            </a:ext>
          </a:extLst>
        </xdr:cNvPr>
        <xdr:cNvCxnSpPr/>
      </xdr:nvCxnSpPr>
      <xdr:spPr>
        <a:xfrm flipV="1">
          <a:off x="11016812069" y="621464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37910</xdr:colOff>
      <xdr:row>136</xdr:row>
      <xdr:rowOff>94776</xdr:rowOff>
    </xdr:from>
    <xdr:to>
      <xdr:col>19</xdr:col>
      <xdr:colOff>214004</xdr:colOff>
      <xdr:row>146</xdr:row>
      <xdr:rowOff>154574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81CF029-C33D-ACEC-FFA7-DB22AB375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011965473" y="26433060"/>
          <a:ext cx="7772400" cy="1955320"/>
        </a:xfrm>
        <a:prstGeom prst="rect">
          <a:avLst/>
        </a:prstGeom>
      </xdr:spPr>
    </xdr:pic>
    <xdr:clientData/>
  </xdr:twoCellAnchor>
  <xdr:twoCellAnchor editAs="oneCell">
    <xdr:from>
      <xdr:col>8</xdr:col>
      <xdr:colOff>1248</xdr:colOff>
      <xdr:row>147</xdr:row>
      <xdr:rowOff>80560</xdr:rowOff>
    </xdr:from>
    <xdr:to>
      <xdr:col>17</xdr:col>
      <xdr:colOff>394079</xdr:colOff>
      <xdr:row>169</xdr:row>
      <xdr:rowOff>52762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BFB79E-4867-5151-A51A-9F6E633B9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13131219" y="28503918"/>
          <a:ext cx="6643316" cy="4377514"/>
        </a:xfrm>
        <a:prstGeom prst="rect">
          <a:avLst/>
        </a:prstGeom>
      </xdr:spPr>
    </xdr:pic>
    <xdr:clientData/>
  </xdr:twoCellAnchor>
  <xdr:twoCellAnchor>
    <xdr:from>
      <xdr:col>18</xdr:col>
      <xdr:colOff>573395</xdr:colOff>
      <xdr:row>148</xdr:row>
      <xdr:rowOff>66344</xdr:rowOff>
    </xdr:from>
    <xdr:to>
      <xdr:col>19</xdr:col>
      <xdr:colOff>71081</xdr:colOff>
      <xdr:row>149</xdr:row>
      <xdr:rowOff>156380</xdr:rowOff>
    </xdr:to>
    <xdr:sp macro="" textlink="">
      <xdr:nvSpPr>
        <xdr:cNvPr id="33" name="Right Brace 32">
          <a:extLst>
            <a:ext uri="{FF2B5EF4-FFF2-40B4-BE49-F238E27FC236}">
              <a16:creationId xmlns:a16="http://schemas.microsoft.com/office/drawing/2014/main" id="{37D0749F-7921-854B-4961-CC1497C4B45D}"/>
            </a:ext>
          </a:extLst>
        </xdr:cNvPr>
        <xdr:cNvSpPr/>
      </xdr:nvSpPr>
      <xdr:spPr>
        <a:xfrm>
          <a:off x="11012108396" y="28679254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18</xdr:col>
      <xdr:colOff>563917</xdr:colOff>
      <xdr:row>149</xdr:row>
      <xdr:rowOff>52127</xdr:rowOff>
    </xdr:from>
    <xdr:to>
      <xdr:col>19</xdr:col>
      <xdr:colOff>61603</xdr:colOff>
      <xdr:row>150</xdr:row>
      <xdr:rowOff>142164</xdr:rowOff>
    </xdr:to>
    <xdr:sp macro="" textlink="">
      <xdr:nvSpPr>
        <xdr:cNvPr id="34" name="Right Brace 33">
          <a:extLst>
            <a:ext uri="{FF2B5EF4-FFF2-40B4-BE49-F238E27FC236}">
              <a16:creationId xmlns:a16="http://schemas.microsoft.com/office/drawing/2014/main" id="{39D6EC87-6AEB-210C-EA26-4FEDF8FDC2B6}"/>
            </a:ext>
          </a:extLst>
        </xdr:cNvPr>
        <xdr:cNvSpPr/>
      </xdr:nvSpPr>
      <xdr:spPr>
        <a:xfrm>
          <a:off x="11012117874" y="28854590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528790</xdr:colOff>
      <xdr:row>343</xdr:row>
      <xdr:rowOff>112990</xdr:rowOff>
    </xdr:from>
    <xdr:to>
      <xdr:col>13</xdr:col>
      <xdr:colOff>90391</xdr:colOff>
      <xdr:row>343</xdr:row>
      <xdr:rowOff>122029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1413078-735A-01BD-DED7-81777305556F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528790</xdr:colOff>
      <xdr:row>349</xdr:row>
      <xdr:rowOff>112990</xdr:rowOff>
    </xdr:from>
    <xdr:to>
      <xdr:col>13</xdr:col>
      <xdr:colOff>90391</xdr:colOff>
      <xdr:row>349</xdr:row>
      <xdr:rowOff>122029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2587349D-0841-0140-BE4D-5217373DB626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587546</xdr:colOff>
      <xdr:row>356</xdr:row>
      <xdr:rowOff>116786</xdr:rowOff>
    </xdr:from>
    <xdr:ext cx="1581851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596585</xdr:colOff>
      <xdr:row>359</xdr:row>
      <xdr:rowOff>35434</xdr:rowOff>
    </xdr:from>
    <xdr:ext cx="15818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1152252</xdr:colOff>
      <xdr:row>164</xdr:row>
      <xdr:rowOff>180828</xdr:rowOff>
    </xdr:from>
    <xdr:to>
      <xdr:col>4</xdr:col>
      <xdr:colOff>138482</xdr:colOff>
      <xdr:row>165</xdr:row>
      <xdr:rowOff>153237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D0A3B7A-A876-822B-3BC0-A9649F62880F}"/>
            </a:ext>
          </a:extLst>
        </xdr:cNvPr>
        <xdr:cNvCxnSpPr/>
      </xdr:nvCxnSpPr>
      <xdr:spPr>
        <a:xfrm flipV="1">
          <a:off x="11021985459" y="43718278"/>
          <a:ext cx="243614" cy="2499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1173277</xdr:colOff>
      <xdr:row>164</xdr:row>
      <xdr:rowOff>147185</xdr:rowOff>
    </xdr:from>
    <xdr:to>
      <xdr:col>3</xdr:col>
      <xdr:colOff>162789</xdr:colOff>
      <xdr:row>165</xdr:row>
      <xdr:rowOff>191011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D430B807-0C52-FCFD-3847-5A50B7812195}"/>
            </a:ext>
          </a:extLst>
        </xdr:cNvPr>
        <xdr:cNvCxnSpPr/>
      </xdr:nvCxnSpPr>
      <xdr:spPr>
        <a:xfrm flipV="1">
          <a:off x="11023218536" y="43684635"/>
          <a:ext cx="309975" cy="321376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1084698</xdr:colOff>
      <xdr:row>189</xdr:row>
      <xdr:rowOff>108469</xdr:rowOff>
    </xdr:from>
    <xdr:to>
      <xdr:col>4</xdr:col>
      <xdr:colOff>174487</xdr:colOff>
      <xdr:row>190</xdr:row>
      <xdr:rowOff>125947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8BFAC97-3161-56B7-43D5-9F03297292BE}"/>
            </a:ext>
          </a:extLst>
        </xdr:cNvPr>
        <xdr:cNvCxnSpPr/>
      </xdr:nvCxnSpPr>
      <xdr:spPr>
        <a:xfrm flipV="1">
          <a:off x="11031262453" y="51292633"/>
          <a:ext cx="346230" cy="2841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1368450</xdr:colOff>
      <xdr:row>80</xdr:row>
      <xdr:rowOff>152597</xdr:rowOff>
    </xdr:from>
    <xdr:to>
      <xdr:col>2</xdr:col>
      <xdr:colOff>134747</xdr:colOff>
      <xdr:row>81</xdr:row>
      <xdr:rowOff>147626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9B46B868-80D1-0315-ACD1-124BD55B7156}"/>
            </a:ext>
          </a:extLst>
        </xdr:cNvPr>
        <xdr:cNvCxnSpPr/>
      </xdr:nvCxnSpPr>
      <xdr:spPr>
        <a:xfrm flipV="1">
          <a:off x="11049652850" y="21388178"/>
          <a:ext cx="415328" cy="2756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854280</xdr:colOff>
      <xdr:row>151</xdr:row>
      <xdr:rowOff>173597</xdr:rowOff>
    </xdr:from>
    <xdr:to>
      <xdr:col>5</xdr:col>
      <xdr:colOff>762913</xdr:colOff>
      <xdr:row>151</xdr:row>
      <xdr:rowOff>178165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310F199-5946-EADC-01D4-8720E2DD7551}"/>
            </a:ext>
          </a:extLst>
        </xdr:cNvPr>
        <xdr:cNvCxnSpPr/>
      </xdr:nvCxnSpPr>
      <xdr:spPr>
        <a:xfrm flipV="1">
          <a:off x="10998798454" y="40274532"/>
          <a:ext cx="6354568" cy="456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589317</xdr:colOff>
      <xdr:row>156</xdr:row>
      <xdr:rowOff>193444</xdr:rowOff>
    </xdr:from>
    <xdr:to>
      <xdr:col>4</xdr:col>
      <xdr:colOff>592948</xdr:colOff>
      <xdr:row>157</xdr:row>
      <xdr:rowOff>255828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CF7D68F-6A9B-0DA0-6087-B720B61CF27C}"/>
            </a:ext>
          </a:extLst>
        </xdr:cNvPr>
        <xdr:cNvCxnSpPr/>
      </xdr:nvCxnSpPr>
      <xdr:spPr>
        <a:xfrm>
          <a:off x="11021530993" y="41611424"/>
          <a:ext cx="3631" cy="3273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598454</xdr:colOff>
      <xdr:row>155</xdr:row>
      <xdr:rowOff>13705</xdr:rowOff>
    </xdr:from>
    <xdr:to>
      <xdr:col>3</xdr:col>
      <xdr:colOff>598454</xdr:colOff>
      <xdr:row>157</xdr:row>
      <xdr:rowOff>255828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C5D4F0E-C66D-F9DF-5091-F15C33EEBE74}"/>
            </a:ext>
          </a:extLst>
        </xdr:cNvPr>
        <xdr:cNvCxnSpPr/>
      </xdr:nvCxnSpPr>
      <xdr:spPr>
        <a:xfrm>
          <a:off x="11001475503" y="41201906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698957</xdr:colOff>
      <xdr:row>155</xdr:row>
      <xdr:rowOff>18273</xdr:rowOff>
    </xdr:from>
    <xdr:to>
      <xdr:col>2</xdr:col>
      <xdr:colOff>698957</xdr:colOff>
      <xdr:row>157</xdr:row>
      <xdr:rowOff>260396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19A16C52-173F-CB2D-0500-87BBC84DE41A}"/>
            </a:ext>
          </a:extLst>
        </xdr:cNvPr>
        <xdr:cNvCxnSpPr/>
      </xdr:nvCxnSpPr>
      <xdr:spPr>
        <a:xfrm>
          <a:off x="11002695251" y="41206474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181651</xdr:colOff>
      <xdr:row>153</xdr:row>
      <xdr:rowOff>33642</xdr:rowOff>
    </xdr:from>
    <xdr:to>
      <xdr:col>5</xdr:col>
      <xdr:colOff>806492</xdr:colOff>
      <xdr:row>155</xdr:row>
      <xdr:rowOff>172165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C60D814-9905-BB81-96ED-EF93F280A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20060065" y="40644205"/>
          <a:ext cx="624841" cy="681006"/>
        </a:xfrm>
        <a:prstGeom prst="rect">
          <a:avLst/>
        </a:prstGeom>
      </xdr:spPr>
    </xdr:pic>
    <xdr:clientData/>
  </xdr:twoCellAnchor>
  <xdr:twoCellAnchor>
    <xdr:from>
      <xdr:col>5</xdr:col>
      <xdr:colOff>176624</xdr:colOff>
      <xdr:row>153</xdr:row>
      <xdr:rowOff>100926</xdr:rowOff>
    </xdr:from>
    <xdr:to>
      <xdr:col>5</xdr:col>
      <xdr:colOff>733111</xdr:colOff>
      <xdr:row>156</xdr:row>
      <xdr:rowOff>88311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CF6B3E9A-62D1-D88C-7BB0-9A43F63E4FC3}"/>
            </a:ext>
          </a:extLst>
        </xdr:cNvPr>
        <xdr:cNvSpPr/>
      </xdr:nvSpPr>
      <xdr:spPr>
        <a:xfrm>
          <a:off x="11020133446" y="40711489"/>
          <a:ext cx="556487" cy="794802"/>
        </a:xfrm>
        <a:custGeom>
          <a:avLst/>
          <a:gdLst>
            <a:gd name="connsiteX0" fmla="*/ 283143 w 556487"/>
            <a:gd name="connsiteY0" fmla="*/ 0 h 794802"/>
            <a:gd name="connsiteX1" fmla="*/ 371454 w 556487"/>
            <a:gd name="connsiteY1" fmla="*/ 71490 h 794802"/>
            <a:gd name="connsiteX2" fmla="*/ 400891 w 556487"/>
            <a:gd name="connsiteY2" fmla="*/ 109338 h 794802"/>
            <a:gd name="connsiteX3" fmla="*/ 413507 w 556487"/>
            <a:gd name="connsiteY3" fmla="*/ 121954 h 794802"/>
            <a:gd name="connsiteX4" fmla="*/ 421917 w 556487"/>
            <a:gd name="connsiteY4" fmla="*/ 134570 h 794802"/>
            <a:gd name="connsiteX5" fmla="*/ 442944 w 556487"/>
            <a:gd name="connsiteY5" fmla="*/ 172417 h 794802"/>
            <a:gd name="connsiteX6" fmla="*/ 463970 w 556487"/>
            <a:gd name="connsiteY6" fmla="*/ 201855 h 794802"/>
            <a:gd name="connsiteX7" fmla="*/ 472381 w 556487"/>
            <a:gd name="connsiteY7" fmla="*/ 218676 h 794802"/>
            <a:gd name="connsiteX8" fmla="*/ 480792 w 556487"/>
            <a:gd name="connsiteY8" fmla="*/ 231292 h 794802"/>
            <a:gd name="connsiteX9" fmla="*/ 493407 w 556487"/>
            <a:gd name="connsiteY9" fmla="*/ 264934 h 794802"/>
            <a:gd name="connsiteX10" fmla="*/ 501818 w 556487"/>
            <a:gd name="connsiteY10" fmla="*/ 277550 h 794802"/>
            <a:gd name="connsiteX11" fmla="*/ 506023 w 556487"/>
            <a:gd name="connsiteY11" fmla="*/ 294371 h 794802"/>
            <a:gd name="connsiteX12" fmla="*/ 514434 w 556487"/>
            <a:gd name="connsiteY12" fmla="*/ 370066 h 794802"/>
            <a:gd name="connsiteX13" fmla="*/ 518639 w 556487"/>
            <a:gd name="connsiteY13" fmla="*/ 403709 h 794802"/>
            <a:gd name="connsiteX14" fmla="*/ 522844 w 556487"/>
            <a:gd name="connsiteY14" fmla="*/ 571921 h 794802"/>
            <a:gd name="connsiteX15" fmla="*/ 531255 w 556487"/>
            <a:gd name="connsiteY15" fmla="*/ 635000 h 794802"/>
            <a:gd name="connsiteX16" fmla="*/ 535460 w 556487"/>
            <a:gd name="connsiteY16" fmla="*/ 576126 h 794802"/>
            <a:gd name="connsiteX17" fmla="*/ 531255 w 556487"/>
            <a:gd name="connsiteY17" fmla="*/ 546689 h 794802"/>
            <a:gd name="connsiteX18" fmla="*/ 514434 w 556487"/>
            <a:gd name="connsiteY18" fmla="*/ 454172 h 794802"/>
            <a:gd name="connsiteX19" fmla="*/ 501818 w 556487"/>
            <a:gd name="connsiteY19" fmla="*/ 395298 h 794802"/>
            <a:gd name="connsiteX20" fmla="*/ 493407 w 556487"/>
            <a:gd name="connsiteY20" fmla="*/ 336424 h 794802"/>
            <a:gd name="connsiteX21" fmla="*/ 463970 w 556487"/>
            <a:gd name="connsiteY21" fmla="*/ 231292 h 794802"/>
            <a:gd name="connsiteX22" fmla="*/ 459765 w 556487"/>
            <a:gd name="connsiteY22" fmla="*/ 214470 h 794802"/>
            <a:gd name="connsiteX23" fmla="*/ 451354 w 556487"/>
            <a:gd name="connsiteY23" fmla="*/ 189239 h 794802"/>
            <a:gd name="connsiteX24" fmla="*/ 447149 w 556487"/>
            <a:gd name="connsiteY24" fmla="*/ 159802 h 794802"/>
            <a:gd name="connsiteX25" fmla="*/ 442944 w 556487"/>
            <a:gd name="connsiteY25" fmla="*/ 147186 h 794802"/>
            <a:gd name="connsiteX26" fmla="*/ 438739 w 556487"/>
            <a:gd name="connsiteY26" fmla="*/ 126159 h 794802"/>
            <a:gd name="connsiteX27" fmla="*/ 430328 w 556487"/>
            <a:gd name="connsiteY27" fmla="*/ 100927 h 794802"/>
            <a:gd name="connsiteX28" fmla="*/ 426123 w 556487"/>
            <a:gd name="connsiteY28" fmla="*/ 88312 h 794802"/>
            <a:gd name="connsiteX29" fmla="*/ 421917 w 556487"/>
            <a:gd name="connsiteY29" fmla="*/ 75696 h 794802"/>
            <a:gd name="connsiteX30" fmla="*/ 417712 w 556487"/>
            <a:gd name="connsiteY30" fmla="*/ 63080 h 794802"/>
            <a:gd name="connsiteX31" fmla="*/ 388275 w 556487"/>
            <a:gd name="connsiteY31" fmla="*/ 46259 h 794802"/>
            <a:gd name="connsiteX32" fmla="*/ 375659 w 556487"/>
            <a:gd name="connsiteY32" fmla="*/ 42053 h 794802"/>
            <a:gd name="connsiteX33" fmla="*/ 329401 w 556487"/>
            <a:gd name="connsiteY33" fmla="*/ 33643 h 794802"/>
            <a:gd name="connsiteX34" fmla="*/ 308374 w 556487"/>
            <a:gd name="connsiteY34" fmla="*/ 25232 h 794802"/>
            <a:gd name="connsiteX35" fmla="*/ 295758 w 556487"/>
            <a:gd name="connsiteY35" fmla="*/ 21027 h 794802"/>
            <a:gd name="connsiteX36" fmla="*/ 249500 w 556487"/>
            <a:gd name="connsiteY36" fmla="*/ 25232 h 794802"/>
            <a:gd name="connsiteX37" fmla="*/ 236884 w 556487"/>
            <a:gd name="connsiteY37" fmla="*/ 33643 h 794802"/>
            <a:gd name="connsiteX38" fmla="*/ 207447 w 556487"/>
            <a:gd name="connsiteY38" fmla="*/ 46259 h 794802"/>
            <a:gd name="connsiteX39" fmla="*/ 190626 w 556487"/>
            <a:gd name="connsiteY39" fmla="*/ 58874 h 794802"/>
            <a:gd name="connsiteX40" fmla="*/ 161189 w 556487"/>
            <a:gd name="connsiteY40" fmla="*/ 71490 h 794802"/>
            <a:gd name="connsiteX41" fmla="*/ 152778 w 556487"/>
            <a:gd name="connsiteY41" fmla="*/ 84106 h 794802"/>
            <a:gd name="connsiteX42" fmla="*/ 140162 w 556487"/>
            <a:gd name="connsiteY42" fmla="*/ 126159 h 794802"/>
            <a:gd name="connsiteX43" fmla="*/ 123341 w 556487"/>
            <a:gd name="connsiteY43" fmla="*/ 164007 h 794802"/>
            <a:gd name="connsiteX44" fmla="*/ 114931 w 556487"/>
            <a:gd name="connsiteY44" fmla="*/ 180828 h 794802"/>
            <a:gd name="connsiteX45" fmla="*/ 102315 w 556487"/>
            <a:gd name="connsiteY45" fmla="*/ 218676 h 794802"/>
            <a:gd name="connsiteX46" fmla="*/ 93904 w 556487"/>
            <a:gd name="connsiteY46" fmla="*/ 256523 h 794802"/>
            <a:gd name="connsiteX47" fmla="*/ 85493 w 556487"/>
            <a:gd name="connsiteY47" fmla="*/ 273345 h 794802"/>
            <a:gd name="connsiteX48" fmla="*/ 77083 w 556487"/>
            <a:gd name="connsiteY48" fmla="*/ 336424 h 794802"/>
            <a:gd name="connsiteX49" fmla="*/ 72878 w 556487"/>
            <a:gd name="connsiteY49" fmla="*/ 357451 h 794802"/>
            <a:gd name="connsiteX50" fmla="*/ 68672 w 556487"/>
            <a:gd name="connsiteY50" fmla="*/ 395298 h 794802"/>
            <a:gd name="connsiteX51" fmla="*/ 77083 w 556487"/>
            <a:gd name="connsiteY51" fmla="*/ 613974 h 794802"/>
            <a:gd name="connsiteX52" fmla="*/ 85493 w 556487"/>
            <a:gd name="connsiteY52" fmla="*/ 660232 h 794802"/>
            <a:gd name="connsiteX53" fmla="*/ 93904 w 556487"/>
            <a:gd name="connsiteY53" fmla="*/ 693874 h 794802"/>
            <a:gd name="connsiteX54" fmla="*/ 106520 w 556487"/>
            <a:gd name="connsiteY54" fmla="*/ 765365 h 794802"/>
            <a:gd name="connsiteX55" fmla="*/ 110725 w 556487"/>
            <a:gd name="connsiteY55" fmla="*/ 782186 h 794802"/>
            <a:gd name="connsiteX56" fmla="*/ 119136 w 556487"/>
            <a:gd name="connsiteY56" fmla="*/ 794802 h 794802"/>
            <a:gd name="connsiteX57" fmla="*/ 110725 w 556487"/>
            <a:gd name="connsiteY57" fmla="*/ 769570 h 794802"/>
            <a:gd name="connsiteX58" fmla="*/ 98109 w 556487"/>
            <a:gd name="connsiteY58" fmla="*/ 744338 h 794802"/>
            <a:gd name="connsiteX59" fmla="*/ 89699 w 556487"/>
            <a:gd name="connsiteY59" fmla="*/ 672848 h 794802"/>
            <a:gd name="connsiteX60" fmla="*/ 77083 w 556487"/>
            <a:gd name="connsiteY60" fmla="*/ 639206 h 794802"/>
            <a:gd name="connsiteX61" fmla="*/ 64467 w 556487"/>
            <a:gd name="connsiteY61" fmla="*/ 601358 h 794802"/>
            <a:gd name="connsiteX62" fmla="*/ 60262 w 556487"/>
            <a:gd name="connsiteY62" fmla="*/ 567716 h 794802"/>
            <a:gd name="connsiteX63" fmla="*/ 51851 w 556487"/>
            <a:gd name="connsiteY63" fmla="*/ 517252 h 794802"/>
            <a:gd name="connsiteX64" fmla="*/ 60262 w 556487"/>
            <a:gd name="connsiteY64" fmla="*/ 311192 h 794802"/>
            <a:gd name="connsiteX65" fmla="*/ 68672 w 556487"/>
            <a:gd name="connsiteY65" fmla="*/ 277550 h 794802"/>
            <a:gd name="connsiteX66" fmla="*/ 77083 w 556487"/>
            <a:gd name="connsiteY66" fmla="*/ 243908 h 794802"/>
            <a:gd name="connsiteX67" fmla="*/ 85493 w 556487"/>
            <a:gd name="connsiteY67" fmla="*/ 210265 h 794802"/>
            <a:gd name="connsiteX68" fmla="*/ 102315 w 556487"/>
            <a:gd name="connsiteY68" fmla="*/ 168212 h 794802"/>
            <a:gd name="connsiteX69" fmla="*/ 114931 w 556487"/>
            <a:gd name="connsiteY69" fmla="*/ 138775 h 794802"/>
            <a:gd name="connsiteX70" fmla="*/ 119136 w 556487"/>
            <a:gd name="connsiteY70" fmla="*/ 126159 h 794802"/>
            <a:gd name="connsiteX71" fmla="*/ 123341 w 556487"/>
            <a:gd name="connsiteY71" fmla="*/ 109338 h 794802"/>
            <a:gd name="connsiteX72" fmla="*/ 135957 w 556487"/>
            <a:gd name="connsiteY72" fmla="*/ 100927 h 794802"/>
            <a:gd name="connsiteX73" fmla="*/ 156984 w 556487"/>
            <a:gd name="connsiteY73" fmla="*/ 75696 h 794802"/>
            <a:gd name="connsiteX74" fmla="*/ 194831 w 556487"/>
            <a:gd name="connsiteY74" fmla="*/ 50464 h 794802"/>
            <a:gd name="connsiteX75" fmla="*/ 224268 w 556487"/>
            <a:gd name="connsiteY75" fmla="*/ 33643 h 794802"/>
            <a:gd name="connsiteX76" fmla="*/ 257911 w 556487"/>
            <a:gd name="connsiteY76" fmla="*/ 37848 h 794802"/>
            <a:gd name="connsiteX77" fmla="*/ 312580 w 556487"/>
            <a:gd name="connsiteY77" fmla="*/ 42053 h 794802"/>
            <a:gd name="connsiteX78" fmla="*/ 354633 w 556487"/>
            <a:gd name="connsiteY78" fmla="*/ 50464 h 794802"/>
            <a:gd name="connsiteX79" fmla="*/ 371454 w 556487"/>
            <a:gd name="connsiteY79" fmla="*/ 67285 h 794802"/>
            <a:gd name="connsiteX80" fmla="*/ 375659 w 556487"/>
            <a:gd name="connsiteY80" fmla="*/ 79901 h 794802"/>
            <a:gd name="connsiteX81" fmla="*/ 384070 w 556487"/>
            <a:gd name="connsiteY81" fmla="*/ 96722 h 794802"/>
            <a:gd name="connsiteX82" fmla="*/ 413507 w 556487"/>
            <a:gd name="connsiteY82" fmla="*/ 134570 h 794802"/>
            <a:gd name="connsiteX83" fmla="*/ 421917 w 556487"/>
            <a:gd name="connsiteY83" fmla="*/ 151391 h 794802"/>
            <a:gd name="connsiteX84" fmla="*/ 438739 w 556487"/>
            <a:gd name="connsiteY84" fmla="*/ 176623 h 794802"/>
            <a:gd name="connsiteX85" fmla="*/ 455560 w 556487"/>
            <a:gd name="connsiteY85" fmla="*/ 218676 h 794802"/>
            <a:gd name="connsiteX86" fmla="*/ 463970 w 556487"/>
            <a:gd name="connsiteY86" fmla="*/ 260729 h 794802"/>
            <a:gd name="connsiteX87" fmla="*/ 476586 w 556487"/>
            <a:gd name="connsiteY87" fmla="*/ 319603 h 794802"/>
            <a:gd name="connsiteX88" fmla="*/ 506023 w 556487"/>
            <a:gd name="connsiteY88" fmla="*/ 386888 h 794802"/>
            <a:gd name="connsiteX89" fmla="*/ 514434 w 556487"/>
            <a:gd name="connsiteY89" fmla="*/ 424735 h 794802"/>
            <a:gd name="connsiteX90" fmla="*/ 522844 w 556487"/>
            <a:gd name="connsiteY90" fmla="*/ 449967 h 794802"/>
            <a:gd name="connsiteX91" fmla="*/ 527050 w 556487"/>
            <a:gd name="connsiteY91" fmla="*/ 475199 h 794802"/>
            <a:gd name="connsiteX92" fmla="*/ 531255 w 556487"/>
            <a:gd name="connsiteY92" fmla="*/ 542484 h 794802"/>
            <a:gd name="connsiteX93" fmla="*/ 535460 w 556487"/>
            <a:gd name="connsiteY93" fmla="*/ 571921 h 794802"/>
            <a:gd name="connsiteX94" fmla="*/ 539666 w 556487"/>
            <a:gd name="connsiteY94" fmla="*/ 618179 h 794802"/>
            <a:gd name="connsiteX95" fmla="*/ 535460 w 556487"/>
            <a:gd name="connsiteY95" fmla="*/ 601358 h 794802"/>
            <a:gd name="connsiteX96" fmla="*/ 527050 w 556487"/>
            <a:gd name="connsiteY96" fmla="*/ 521457 h 794802"/>
            <a:gd name="connsiteX97" fmla="*/ 522844 w 556487"/>
            <a:gd name="connsiteY97" fmla="*/ 479404 h 794802"/>
            <a:gd name="connsiteX98" fmla="*/ 518639 w 556487"/>
            <a:gd name="connsiteY98" fmla="*/ 433146 h 794802"/>
            <a:gd name="connsiteX99" fmla="*/ 510229 w 556487"/>
            <a:gd name="connsiteY99" fmla="*/ 391093 h 794802"/>
            <a:gd name="connsiteX100" fmla="*/ 501818 w 556487"/>
            <a:gd name="connsiteY100" fmla="*/ 328014 h 794802"/>
            <a:gd name="connsiteX101" fmla="*/ 497613 w 556487"/>
            <a:gd name="connsiteY101" fmla="*/ 306987 h 794802"/>
            <a:gd name="connsiteX102" fmla="*/ 489202 w 556487"/>
            <a:gd name="connsiteY102" fmla="*/ 290166 h 794802"/>
            <a:gd name="connsiteX103" fmla="*/ 480792 w 556487"/>
            <a:gd name="connsiteY103" fmla="*/ 260729 h 794802"/>
            <a:gd name="connsiteX104" fmla="*/ 472381 w 556487"/>
            <a:gd name="connsiteY104" fmla="*/ 243908 h 794802"/>
            <a:gd name="connsiteX105" fmla="*/ 463970 w 556487"/>
            <a:gd name="connsiteY105" fmla="*/ 218676 h 794802"/>
            <a:gd name="connsiteX106" fmla="*/ 447149 w 556487"/>
            <a:gd name="connsiteY106" fmla="*/ 180828 h 794802"/>
            <a:gd name="connsiteX107" fmla="*/ 442944 w 556487"/>
            <a:gd name="connsiteY107" fmla="*/ 164007 h 794802"/>
            <a:gd name="connsiteX108" fmla="*/ 426123 w 556487"/>
            <a:gd name="connsiteY108" fmla="*/ 134570 h 794802"/>
            <a:gd name="connsiteX109" fmla="*/ 413507 w 556487"/>
            <a:gd name="connsiteY109" fmla="*/ 121954 h 794802"/>
            <a:gd name="connsiteX110" fmla="*/ 400891 w 556487"/>
            <a:gd name="connsiteY110" fmla="*/ 105133 h 794802"/>
            <a:gd name="connsiteX111" fmla="*/ 371454 w 556487"/>
            <a:gd name="connsiteY111" fmla="*/ 84106 h 794802"/>
            <a:gd name="connsiteX112" fmla="*/ 337811 w 556487"/>
            <a:gd name="connsiteY112" fmla="*/ 54669 h 794802"/>
            <a:gd name="connsiteX113" fmla="*/ 299964 w 556487"/>
            <a:gd name="connsiteY113" fmla="*/ 37848 h 794802"/>
            <a:gd name="connsiteX114" fmla="*/ 283143 w 556487"/>
            <a:gd name="connsiteY114" fmla="*/ 29437 h 794802"/>
            <a:gd name="connsiteX115" fmla="*/ 190626 w 556487"/>
            <a:gd name="connsiteY115" fmla="*/ 50464 h 794802"/>
            <a:gd name="connsiteX116" fmla="*/ 156984 w 556487"/>
            <a:gd name="connsiteY116" fmla="*/ 58874 h 794802"/>
            <a:gd name="connsiteX117" fmla="*/ 123341 w 556487"/>
            <a:gd name="connsiteY117" fmla="*/ 88312 h 794802"/>
            <a:gd name="connsiteX118" fmla="*/ 93904 w 556487"/>
            <a:gd name="connsiteY118" fmla="*/ 117749 h 794802"/>
            <a:gd name="connsiteX119" fmla="*/ 85493 w 556487"/>
            <a:gd name="connsiteY119" fmla="*/ 142980 h 794802"/>
            <a:gd name="connsiteX120" fmla="*/ 77083 w 556487"/>
            <a:gd name="connsiteY120" fmla="*/ 180828 h 794802"/>
            <a:gd name="connsiteX121" fmla="*/ 68672 w 556487"/>
            <a:gd name="connsiteY121" fmla="*/ 206060 h 794802"/>
            <a:gd name="connsiteX122" fmla="*/ 60262 w 556487"/>
            <a:gd name="connsiteY122" fmla="*/ 218676 h 794802"/>
            <a:gd name="connsiteX123" fmla="*/ 51851 w 556487"/>
            <a:gd name="connsiteY123" fmla="*/ 243908 h 794802"/>
            <a:gd name="connsiteX124" fmla="*/ 43441 w 556487"/>
            <a:gd name="connsiteY124" fmla="*/ 273345 h 794802"/>
            <a:gd name="connsiteX125" fmla="*/ 35030 w 556487"/>
            <a:gd name="connsiteY125" fmla="*/ 285961 h 794802"/>
            <a:gd name="connsiteX126" fmla="*/ 22414 w 556487"/>
            <a:gd name="connsiteY126" fmla="*/ 315398 h 794802"/>
            <a:gd name="connsiteX127" fmla="*/ 14003 w 556487"/>
            <a:gd name="connsiteY127" fmla="*/ 374272 h 794802"/>
            <a:gd name="connsiteX128" fmla="*/ 9798 w 556487"/>
            <a:gd name="connsiteY128" fmla="*/ 391093 h 794802"/>
            <a:gd name="connsiteX129" fmla="*/ 5593 w 556487"/>
            <a:gd name="connsiteY129" fmla="*/ 412119 h 794802"/>
            <a:gd name="connsiteX130" fmla="*/ 1388 w 556487"/>
            <a:gd name="connsiteY130" fmla="*/ 445762 h 794802"/>
            <a:gd name="connsiteX131" fmla="*/ 9798 w 556487"/>
            <a:gd name="connsiteY131" fmla="*/ 605563 h 794802"/>
            <a:gd name="connsiteX132" fmla="*/ 18209 w 556487"/>
            <a:gd name="connsiteY132" fmla="*/ 630795 h 794802"/>
            <a:gd name="connsiteX133" fmla="*/ 26619 w 556487"/>
            <a:gd name="connsiteY133" fmla="*/ 660232 h 794802"/>
            <a:gd name="connsiteX134" fmla="*/ 35030 w 556487"/>
            <a:gd name="connsiteY134" fmla="*/ 672848 h 794802"/>
            <a:gd name="connsiteX135" fmla="*/ 47646 w 556487"/>
            <a:gd name="connsiteY135" fmla="*/ 702285 h 794802"/>
            <a:gd name="connsiteX136" fmla="*/ 60262 w 556487"/>
            <a:gd name="connsiteY136" fmla="*/ 727517 h 794802"/>
            <a:gd name="connsiteX137" fmla="*/ 81288 w 556487"/>
            <a:gd name="connsiteY137" fmla="*/ 748543 h 794802"/>
            <a:gd name="connsiteX138" fmla="*/ 98109 w 556487"/>
            <a:gd name="connsiteY138" fmla="*/ 773775 h 794802"/>
            <a:gd name="connsiteX139" fmla="*/ 81288 w 556487"/>
            <a:gd name="connsiteY139" fmla="*/ 735927 h 794802"/>
            <a:gd name="connsiteX140" fmla="*/ 72878 w 556487"/>
            <a:gd name="connsiteY140" fmla="*/ 710696 h 794802"/>
            <a:gd name="connsiteX141" fmla="*/ 64467 w 556487"/>
            <a:gd name="connsiteY141" fmla="*/ 689669 h 794802"/>
            <a:gd name="connsiteX142" fmla="*/ 60262 w 556487"/>
            <a:gd name="connsiteY142" fmla="*/ 672848 h 794802"/>
            <a:gd name="connsiteX143" fmla="*/ 56056 w 556487"/>
            <a:gd name="connsiteY143" fmla="*/ 660232 h 794802"/>
            <a:gd name="connsiteX144" fmla="*/ 51851 w 556487"/>
            <a:gd name="connsiteY144" fmla="*/ 643411 h 794802"/>
            <a:gd name="connsiteX145" fmla="*/ 43441 w 556487"/>
            <a:gd name="connsiteY145" fmla="*/ 622384 h 794802"/>
            <a:gd name="connsiteX146" fmla="*/ 39235 w 556487"/>
            <a:gd name="connsiteY146" fmla="*/ 588742 h 794802"/>
            <a:gd name="connsiteX147" fmla="*/ 26619 w 556487"/>
            <a:gd name="connsiteY147" fmla="*/ 559305 h 794802"/>
            <a:gd name="connsiteX148" fmla="*/ 5593 w 556487"/>
            <a:gd name="connsiteY148" fmla="*/ 492020 h 794802"/>
            <a:gd name="connsiteX149" fmla="*/ 5593 w 556487"/>
            <a:gd name="connsiteY149" fmla="*/ 349040 h 794802"/>
            <a:gd name="connsiteX150" fmla="*/ 14003 w 556487"/>
            <a:gd name="connsiteY150" fmla="*/ 315398 h 794802"/>
            <a:gd name="connsiteX151" fmla="*/ 18209 w 556487"/>
            <a:gd name="connsiteY151" fmla="*/ 294371 h 794802"/>
            <a:gd name="connsiteX152" fmla="*/ 26619 w 556487"/>
            <a:gd name="connsiteY152" fmla="*/ 277550 h 794802"/>
            <a:gd name="connsiteX153" fmla="*/ 30825 w 556487"/>
            <a:gd name="connsiteY153" fmla="*/ 260729 h 794802"/>
            <a:gd name="connsiteX154" fmla="*/ 39235 w 556487"/>
            <a:gd name="connsiteY154" fmla="*/ 235497 h 794802"/>
            <a:gd name="connsiteX155" fmla="*/ 43441 w 556487"/>
            <a:gd name="connsiteY155" fmla="*/ 218676 h 794802"/>
            <a:gd name="connsiteX156" fmla="*/ 51851 w 556487"/>
            <a:gd name="connsiteY156" fmla="*/ 206060 h 794802"/>
            <a:gd name="connsiteX157" fmla="*/ 60262 w 556487"/>
            <a:gd name="connsiteY157" fmla="*/ 180828 h 794802"/>
            <a:gd name="connsiteX158" fmla="*/ 64467 w 556487"/>
            <a:gd name="connsiteY158" fmla="*/ 168212 h 794802"/>
            <a:gd name="connsiteX159" fmla="*/ 81288 w 556487"/>
            <a:gd name="connsiteY159" fmla="*/ 142980 h 794802"/>
            <a:gd name="connsiteX160" fmla="*/ 89699 w 556487"/>
            <a:gd name="connsiteY160" fmla="*/ 130365 h 794802"/>
            <a:gd name="connsiteX161" fmla="*/ 106520 w 556487"/>
            <a:gd name="connsiteY161" fmla="*/ 96722 h 794802"/>
            <a:gd name="connsiteX162" fmla="*/ 119136 w 556487"/>
            <a:gd name="connsiteY162" fmla="*/ 75696 h 794802"/>
            <a:gd name="connsiteX163" fmla="*/ 131752 w 556487"/>
            <a:gd name="connsiteY163" fmla="*/ 63080 h 794802"/>
            <a:gd name="connsiteX164" fmla="*/ 173805 w 556487"/>
            <a:gd name="connsiteY164" fmla="*/ 33643 h 794802"/>
            <a:gd name="connsiteX165" fmla="*/ 262116 w 556487"/>
            <a:gd name="connsiteY165" fmla="*/ 37848 h 794802"/>
            <a:gd name="connsiteX166" fmla="*/ 287348 w 556487"/>
            <a:gd name="connsiteY166" fmla="*/ 50464 h 794802"/>
            <a:gd name="connsiteX167" fmla="*/ 304169 w 556487"/>
            <a:gd name="connsiteY167" fmla="*/ 63080 h 794802"/>
            <a:gd name="connsiteX168" fmla="*/ 333606 w 556487"/>
            <a:gd name="connsiteY168" fmla="*/ 92517 h 794802"/>
            <a:gd name="connsiteX169" fmla="*/ 371454 w 556487"/>
            <a:gd name="connsiteY169" fmla="*/ 121954 h 794802"/>
            <a:gd name="connsiteX170" fmla="*/ 388275 w 556487"/>
            <a:gd name="connsiteY170" fmla="*/ 138775 h 794802"/>
            <a:gd name="connsiteX171" fmla="*/ 405096 w 556487"/>
            <a:gd name="connsiteY171" fmla="*/ 151391 h 794802"/>
            <a:gd name="connsiteX172" fmla="*/ 434533 w 556487"/>
            <a:gd name="connsiteY172" fmla="*/ 185033 h 794802"/>
            <a:gd name="connsiteX173" fmla="*/ 451354 w 556487"/>
            <a:gd name="connsiteY173" fmla="*/ 218676 h 794802"/>
            <a:gd name="connsiteX174" fmla="*/ 459765 w 556487"/>
            <a:gd name="connsiteY174" fmla="*/ 235497 h 794802"/>
            <a:gd name="connsiteX175" fmla="*/ 472381 w 556487"/>
            <a:gd name="connsiteY175" fmla="*/ 273345 h 794802"/>
            <a:gd name="connsiteX176" fmla="*/ 497613 w 556487"/>
            <a:gd name="connsiteY176" fmla="*/ 340629 h 794802"/>
            <a:gd name="connsiteX177" fmla="*/ 506023 w 556487"/>
            <a:gd name="connsiteY177" fmla="*/ 361656 h 794802"/>
            <a:gd name="connsiteX178" fmla="*/ 510229 w 556487"/>
            <a:gd name="connsiteY178" fmla="*/ 382682 h 794802"/>
            <a:gd name="connsiteX179" fmla="*/ 527050 w 556487"/>
            <a:gd name="connsiteY179" fmla="*/ 424735 h 794802"/>
            <a:gd name="connsiteX180" fmla="*/ 535460 w 556487"/>
            <a:gd name="connsiteY180" fmla="*/ 462583 h 794802"/>
            <a:gd name="connsiteX181" fmla="*/ 539666 w 556487"/>
            <a:gd name="connsiteY181" fmla="*/ 479404 h 794802"/>
            <a:gd name="connsiteX182" fmla="*/ 543871 w 556487"/>
            <a:gd name="connsiteY182" fmla="*/ 492020 h 794802"/>
            <a:gd name="connsiteX183" fmla="*/ 548076 w 556487"/>
            <a:gd name="connsiteY183" fmla="*/ 517252 h 794802"/>
            <a:gd name="connsiteX184" fmla="*/ 552282 w 556487"/>
            <a:gd name="connsiteY184" fmla="*/ 576126 h 794802"/>
            <a:gd name="connsiteX185" fmla="*/ 556487 w 556487"/>
            <a:gd name="connsiteY185" fmla="*/ 626590 h 794802"/>
            <a:gd name="connsiteX186" fmla="*/ 552282 w 556487"/>
            <a:gd name="connsiteY186" fmla="*/ 639206 h 794802"/>
            <a:gd name="connsiteX187" fmla="*/ 552282 w 556487"/>
            <a:gd name="connsiteY187" fmla="*/ 635000 h 79480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</a:cxnLst>
          <a:rect l="l" t="t" r="r" b="b"/>
          <a:pathLst>
            <a:path w="556487" h="794802">
              <a:moveTo>
                <a:pt x="283143" y="0"/>
              </a:moveTo>
              <a:cubicBezTo>
                <a:pt x="304384" y="15931"/>
                <a:pt x="359724" y="56408"/>
                <a:pt x="371454" y="71490"/>
              </a:cubicBezTo>
              <a:cubicBezTo>
                <a:pt x="381266" y="84106"/>
                <a:pt x="389590" y="98037"/>
                <a:pt x="400891" y="109338"/>
              </a:cubicBezTo>
              <a:cubicBezTo>
                <a:pt x="405096" y="113543"/>
                <a:pt x="409700" y="117385"/>
                <a:pt x="413507" y="121954"/>
              </a:cubicBezTo>
              <a:cubicBezTo>
                <a:pt x="416742" y="125837"/>
                <a:pt x="419238" y="130284"/>
                <a:pt x="421917" y="134570"/>
              </a:cubicBezTo>
              <a:cubicBezTo>
                <a:pt x="456933" y="190596"/>
                <a:pt x="416171" y="125564"/>
                <a:pt x="442944" y="172417"/>
              </a:cubicBezTo>
              <a:cubicBezTo>
                <a:pt x="454809" y="193181"/>
                <a:pt x="448921" y="177777"/>
                <a:pt x="463970" y="201855"/>
              </a:cubicBezTo>
              <a:cubicBezTo>
                <a:pt x="467293" y="207171"/>
                <a:pt x="469271" y="213233"/>
                <a:pt x="472381" y="218676"/>
              </a:cubicBezTo>
              <a:cubicBezTo>
                <a:pt x="474889" y="223064"/>
                <a:pt x="478284" y="226904"/>
                <a:pt x="480792" y="231292"/>
              </a:cubicBezTo>
              <a:cubicBezTo>
                <a:pt x="504819" y="273340"/>
                <a:pt x="475666" y="223539"/>
                <a:pt x="493407" y="264934"/>
              </a:cubicBezTo>
              <a:cubicBezTo>
                <a:pt x="495398" y="269580"/>
                <a:pt x="499014" y="273345"/>
                <a:pt x="501818" y="277550"/>
              </a:cubicBezTo>
              <a:cubicBezTo>
                <a:pt x="503220" y="283157"/>
                <a:pt x="504989" y="288685"/>
                <a:pt x="506023" y="294371"/>
              </a:cubicBezTo>
              <a:cubicBezTo>
                <a:pt x="511247" y="323102"/>
                <a:pt x="511162" y="338981"/>
                <a:pt x="514434" y="370066"/>
              </a:cubicBezTo>
              <a:cubicBezTo>
                <a:pt x="515617" y="381306"/>
                <a:pt x="517237" y="392495"/>
                <a:pt x="518639" y="403709"/>
              </a:cubicBezTo>
              <a:cubicBezTo>
                <a:pt x="520041" y="459780"/>
                <a:pt x="520556" y="515879"/>
                <a:pt x="522844" y="571921"/>
              </a:cubicBezTo>
              <a:cubicBezTo>
                <a:pt x="523678" y="592359"/>
                <a:pt x="527861" y="614634"/>
                <a:pt x="531255" y="635000"/>
              </a:cubicBezTo>
              <a:cubicBezTo>
                <a:pt x="532657" y="615375"/>
                <a:pt x="535460" y="595801"/>
                <a:pt x="535460" y="576126"/>
              </a:cubicBezTo>
              <a:cubicBezTo>
                <a:pt x="535460" y="566214"/>
                <a:pt x="532939" y="556457"/>
                <a:pt x="531255" y="546689"/>
              </a:cubicBezTo>
              <a:cubicBezTo>
                <a:pt x="525929" y="515800"/>
                <a:pt x="521002" y="484821"/>
                <a:pt x="514434" y="454172"/>
              </a:cubicBezTo>
              <a:cubicBezTo>
                <a:pt x="510229" y="434547"/>
                <a:pt x="505346" y="415056"/>
                <a:pt x="501818" y="395298"/>
              </a:cubicBezTo>
              <a:cubicBezTo>
                <a:pt x="498333" y="375783"/>
                <a:pt x="497521" y="355816"/>
                <a:pt x="493407" y="336424"/>
              </a:cubicBezTo>
              <a:cubicBezTo>
                <a:pt x="472692" y="238766"/>
                <a:pt x="480264" y="285606"/>
                <a:pt x="463970" y="231292"/>
              </a:cubicBezTo>
              <a:cubicBezTo>
                <a:pt x="462309" y="225756"/>
                <a:pt x="461426" y="220006"/>
                <a:pt x="459765" y="214470"/>
              </a:cubicBezTo>
              <a:cubicBezTo>
                <a:pt x="457218" y="205979"/>
                <a:pt x="451354" y="189239"/>
                <a:pt x="451354" y="189239"/>
              </a:cubicBezTo>
              <a:cubicBezTo>
                <a:pt x="449952" y="179427"/>
                <a:pt x="449093" y="169521"/>
                <a:pt x="447149" y="159802"/>
              </a:cubicBezTo>
              <a:cubicBezTo>
                <a:pt x="446280" y="155455"/>
                <a:pt x="444019" y="151486"/>
                <a:pt x="442944" y="147186"/>
              </a:cubicBezTo>
              <a:cubicBezTo>
                <a:pt x="441211" y="140252"/>
                <a:pt x="440620" y="133055"/>
                <a:pt x="438739" y="126159"/>
              </a:cubicBezTo>
              <a:cubicBezTo>
                <a:pt x="436406" y="117606"/>
                <a:pt x="433132" y="109338"/>
                <a:pt x="430328" y="100927"/>
              </a:cubicBezTo>
              <a:lnTo>
                <a:pt x="426123" y="88312"/>
              </a:lnTo>
              <a:lnTo>
                <a:pt x="421917" y="75696"/>
              </a:lnTo>
              <a:cubicBezTo>
                <a:pt x="420515" y="71491"/>
                <a:pt x="421400" y="65539"/>
                <a:pt x="417712" y="63080"/>
              </a:cubicBezTo>
              <a:cubicBezTo>
                <a:pt x="405039" y="54631"/>
                <a:pt x="403218" y="52663"/>
                <a:pt x="388275" y="46259"/>
              </a:cubicBezTo>
              <a:cubicBezTo>
                <a:pt x="384201" y="44513"/>
                <a:pt x="380006" y="42922"/>
                <a:pt x="375659" y="42053"/>
              </a:cubicBezTo>
              <a:cubicBezTo>
                <a:pt x="353771" y="37675"/>
                <a:pt x="348100" y="39876"/>
                <a:pt x="329401" y="33643"/>
              </a:cubicBezTo>
              <a:cubicBezTo>
                <a:pt x="322239" y="31256"/>
                <a:pt x="315442" y="27883"/>
                <a:pt x="308374" y="25232"/>
              </a:cubicBezTo>
              <a:cubicBezTo>
                <a:pt x="304223" y="23676"/>
                <a:pt x="299963" y="22429"/>
                <a:pt x="295758" y="21027"/>
              </a:cubicBezTo>
              <a:cubicBezTo>
                <a:pt x="280339" y="22429"/>
                <a:pt x="264639" y="21988"/>
                <a:pt x="249500" y="25232"/>
              </a:cubicBezTo>
              <a:cubicBezTo>
                <a:pt x="244558" y="26291"/>
                <a:pt x="241405" y="31383"/>
                <a:pt x="236884" y="33643"/>
              </a:cubicBezTo>
              <a:cubicBezTo>
                <a:pt x="208259" y="47956"/>
                <a:pt x="242463" y="24374"/>
                <a:pt x="207447" y="46259"/>
              </a:cubicBezTo>
              <a:cubicBezTo>
                <a:pt x="201504" y="49974"/>
                <a:pt x="196569" y="55159"/>
                <a:pt x="190626" y="58874"/>
              </a:cubicBezTo>
              <a:cubicBezTo>
                <a:pt x="178745" y="66299"/>
                <a:pt x="173455" y="67401"/>
                <a:pt x="161189" y="71490"/>
              </a:cubicBezTo>
              <a:cubicBezTo>
                <a:pt x="158385" y="75695"/>
                <a:pt x="154769" y="79460"/>
                <a:pt x="152778" y="84106"/>
              </a:cubicBezTo>
              <a:cubicBezTo>
                <a:pt x="134656" y="126389"/>
                <a:pt x="168450" y="69579"/>
                <a:pt x="140162" y="126159"/>
              </a:cubicBezTo>
              <a:cubicBezTo>
                <a:pt x="119459" y="167567"/>
                <a:pt x="144818" y="115683"/>
                <a:pt x="123341" y="164007"/>
              </a:cubicBezTo>
              <a:cubicBezTo>
                <a:pt x="120795" y="169735"/>
                <a:pt x="117734" y="175221"/>
                <a:pt x="114931" y="180828"/>
              </a:cubicBezTo>
              <a:cubicBezTo>
                <a:pt x="102878" y="241086"/>
                <a:pt x="119725" y="166446"/>
                <a:pt x="102315" y="218676"/>
              </a:cubicBezTo>
              <a:cubicBezTo>
                <a:pt x="94331" y="242627"/>
                <a:pt x="101981" y="234985"/>
                <a:pt x="93904" y="256523"/>
              </a:cubicBezTo>
              <a:cubicBezTo>
                <a:pt x="91703" y="262393"/>
                <a:pt x="88297" y="267738"/>
                <a:pt x="85493" y="273345"/>
              </a:cubicBezTo>
              <a:cubicBezTo>
                <a:pt x="76209" y="310482"/>
                <a:pt x="85357" y="270225"/>
                <a:pt x="77083" y="336424"/>
              </a:cubicBezTo>
              <a:cubicBezTo>
                <a:pt x="76196" y="343517"/>
                <a:pt x="73889" y="350375"/>
                <a:pt x="72878" y="357451"/>
              </a:cubicBezTo>
              <a:cubicBezTo>
                <a:pt x="71083" y="370017"/>
                <a:pt x="70074" y="382682"/>
                <a:pt x="68672" y="395298"/>
              </a:cubicBezTo>
              <a:cubicBezTo>
                <a:pt x="70299" y="457114"/>
                <a:pt x="70225" y="545391"/>
                <a:pt x="77083" y="613974"/>
              </a:cubicBezTo>
              <a:cubicBezTo>
                <a:pt x="77841" y="621550"/>
                <a:pt x="83491" y="651555"/>
                <a:pt x="85493" y="660232"/>
              </a:cubicBezTo>
              <a:cubicBezTo>
                <a:pt x="88092" y="671495"/>
                <a:pt x="92269" y="682431"/>
                <a:pt x="93904" y="693874"/>
              </a:cubicBezTo>
              <a:cubicBezTo>
                <a:pt x="97739" y="720719"/>
                <a:pt x="99614" y="737741"/>
                <a:pt x="106520" y="765365"/>
              </a:cubicBezTo>
              <a:cubicBezTo>
                <a:pt x="107922" y="770972"/>
                <a:pt x="108448" y="776874"/>
                <a:pt x="110725" y="782186"/>
              </a:cubicBezTo>
              <a:cubicBezTo>
                <a:pt x="112716" y="786832"/>
                <a:pt x="116332" y="790597"/>
                <a:pt x="119136" y="794802"/>
              </a:cubicBezTo>
              <a:cubicBezTo>
                <a:pt x="116332" y="786391"/>
                <a:pt x="115643" y="776947"/>
                <a:pt x="110725" y="769570"/>
              </a:cubicBezTo>
              <a:cubicBezTo>
                <a:pt x="99856" y="753266"/>
                <a:pt x="103913" y="761749"/>
                <a:pt x="98109" y="744338"/>
              </a:cubicBezTo>
              <a:cubicBezTo>
                <a:pt x="97498" y="738228"/>
                <a:pt x="92674" y="684003"/>
                <a:pt x="89699" y="672848"/>
              </a:cubicBezTo>
              <a:cubicBezTo>
                <a:pt x="86613" y="661276"/>
                <a:pt x="81069" y="650500"/>
                <a:pt x="77083" y="639206"/>
              </a:cubicBezTo>
              <a:cubicBezTo>
                <a:pt x="72657" y="626666"/>
                <a:pt x="68672" y="613974"/>
                <a:pt x="64467" y="601358"/>
              </a:cubicBezTo>
              <a:cubicBezTo>
                <a:pt x="63065" y="590144"/>
                <a:pt x="61938" y="578892"/>
                <a:pt x="60262" y="567716"/>
              </a:cubicBezTo>
              <a:cubicBezTo>
                <a:pt x="57732" y="550851"/>
                <a:pt x="51851" y="517252"/>
                <a:pt x="51851" y="517252"/>
              </a:cubicBezTo>
              <a:cubicBezTo>
                <a:pt x="51879" y="516147"/>
                <a:pt x="51782" y="362068"/>
                <a:pt x="60262" y="311192"/>
              </a:cubicBezTo>
              <a:cubicBezTo>
                <a:pt x="62162" y="299790"/>
                <a:pt x="66405" y="288885"/>
                <a:pt x="68672" y="277550"/>
              </a:cubicBezTo>
              <a:cubicBezTo>
                <a:pt x="78966" y="226087"/>
                <a:pt x="67382" y="279482"/>
                <a:pt x="77083" y="243908"/>
              </a:cubicBezTo>
              <a:cubicBezTo>
                <a:pt x="80124" y="232756"/>
                <a:pt x="81200" y="220998"/>
                <a:pt x="85493" y="210265"/>
              </a:cubicBezTo>
              <a:cubicBezTo>
                <a:pt x="91100" y="196247"/>
                <a:pt x="98654" y="182859"/>
                <a:pt x="102315" y="168212"/>
              </a:cubicBezTo>
              <a:cubicBezTo>
                <a:pt x="107746" y="146488"/>
                <a:pt x="103314" y="156200"/>
                <a:pt x="114931" y="138775"/>
              </a:cubicBezTo>
              <a:cubicBezTo>
                <a:pt x="116333" y="134570"/>
                <a:pt x="117918" y="130421"/>
                <a:pt x="119136" y="126159"/>
              </a:cubicBezTo>
              <a:cubicBezTo>
                <a:pt x="120724" y="120602"/>
                <a:pt x="120135" y="114147"/>
                <a:pt x="123341" y="109338"/>
              </a:cubicBezTo>
              <a:cubicBezTo>
                <a:pt x="126145" y="105133"/>
                <a:pt x="131752" y="103731"/>
                <a:pt x="135957" y="100927"/>
              </a:cubicBezTo>
              <a:cubicBezTo>
                <a:pt x="143433" y="89714"/>
                <a:pt x="145776" y="84413"/>
                <a:pt x="156984" y="75696"/>
              </a:cubicBezTo>
              <a:cubicBezTo>
                <a:pt x="194948" y="46167"/>
                <a:pt x="169540" y="69432"/>
                <a:pt x="194831" y="50464"/>
              </a:cubicBezTo>
              <a:cubicBezTo>
                <a:pt x="215198" y="35188"/>
                <a:pt x="205003" y="40064"/>
                <a:pt x="224268" y="33643"/>
              </a:cubicBezTo>
              <a:cubicBezTo>
                <a:pt x="235482" y="35045"/>
                <a:pt x="246660" y="36777"/>
                <a:pt x="257911" y="37848"/>
              </a:cubicBezTo>
              <a:cubicBezTo>
                <a:pt x="276106" y="39581"/>
                <a:pt x="294457" y="39689"/>
                <a:pt x="312580" y="42053"/>
              </a:cubicBezTo>
              <a:cubicBezTo>
                <a:pt x="326755" y="43902"/>
                <a:pt x="354633" y="50464"/>
                <a:pt x="354633" y="50464"/>
              </a:cubicBezTo>
              <a:cubicBezTo>
                <a:pt x="360240" y="56071"/>
                <a:pt x="366845" y="60832"/>
                <a:pt x="371454" y="67285"/>
              </a:cubicBezTo>
              <a:cubicBezTo>
                <a:pt x="374030" y="70892"/>
                <a:pt x="373913" y="75827"/>
                <a:pt x="375659" y="79901"/>
              </a:cubicBezTo>
              <a:cubicBezTo>
                <a:pt x="378128" y="85663"/>
                <a:pt x="380845" y="91346"/>
                <a:pt x="384070" y="96722"/>
              </a:cubicBezTo>
              <a:cubicBezTo>
                <a:pt x="399161" y="121874"/>
                <a:pt x="396702" y="117765"/>
                <a:pt x="413507" y="134570"/>
              </a:cubicBezTo>
              <a:cubicBezTo>
                <a:pt x="416310" y="140177"/>
                <a:pt x="418692" y="146016"/>
                <a:pt x="421917" y="151391"/>
              </a:cubicBezTo>
              <a:cubicBezTo>
                <a:pt x="427118" y="160059"/>
                <a:pt x="434219" y="167582"/>
                <a:pt x="438739" y="176623"/>
              </a:cubicBezTo>
              <a:cubicBezTo>
                <a:pt x="447438" y="194022"/>
                <a:pt x="450365" y="197894"/>
                <a:pt x="455560" y="218676"/>
              </a:cubicBezTo>
              <a:cubicBezTo>
                <a:pt x="460669" y="239113"/>
                <a:pt x="460532" y="236666"/>
                <a:pt x="463970" y="260729"/>
              </a:cubicBezTo>
              <a:cubicBezTo>
                <a:pt x="468435" y="291982"/>
                <a:pt x="465262" y="292425"/>
                <a:pt x="476586" y="319603"/>
              </a:cubicBezTo>
              <a:cubicBezTo>
                <a:pt x="486770" y="344045"/>
                <a:pt x="500455" y="359053"/>
                <a:pt x="506023" y="386888"/>
              </a:cubicBezTo>
              <a:cubicBezTo>
                <a:pt x="508423" y="398886"/>
                <a:pt x="510873" y="412863"/>
                <a:pt x="514434" y="424735"/>
              </a:cubicBezTo>
              <a:cubicBezTo>
                <a:pt x="516981" y="433227"/>
                <a:pt x="521386" y="441222"/>
                <a:pt x="522844" y="449967"/>
              </a:cubicBezTo>
              <a:lnTo>
                <a:pt x="527050" y="475199"/>
              </a:lnTo>
              <a:cubicBezTo>
                <a:pt x="528452" y="497627"/>
                <a:pt x="529308" y="520096"/>
                <a:pt x="531255" y="542484"/>
              </a:cubicBezTo>
              <a:cubicBezTo>
                <a:pt x="532114" y="552359"/>
                <a:pt x="534365" y="562070"/>
                <a:pt x="535460" y="571921"/>
              </a:cubicBezTo>
              <a:cubicBezTo>
                <a:pt x="537170" y="587309"/>
                <a:pt x="543422" y="633200"/>
                <a:pt x="539666" y="618179"/>
              </a:cubicBezTo>
              <a:cubicBezTo>
                <a:pt x="538264" y="612572"/>
                <a:pt x="536494" y="607044"/>
                <a:pt x="535460" y="601358"/>
              </a:cubicBezTo>
              <a:cubicBezTo>
                <a:pt x="530129" y="572040"/>
                <a:pt x="529930" y="553139"/>
                <a:pt x="527050" y="521457"/>
              </a:cubicBezTo>
              <a:cubicBezTo>
                <a:pt x="525775" y="507427"/>
                <a:pt x="524180" y="493428"/>
                <a:pt x="522844" y="479404"/>
              </a:cubicBezTo>
              <a:cubicBezTo>
                <a:pt x="521376" y="463991"/>
                <a:pt x="520828" y="448473"/>
                <a:pt x="518639" y="433146"/>
              </a:cubicBezTo>
              <a:cubicBezTo>
                <a:pt x="516617" y="418994"/>
                <a:pt x="512459" y="405213"/>
                <a:pt x="510229" y="391093"/>
              </a:cubicBezTo>
              <a:cubicBezTo>
                <a:pt x="494231" y="289773"/>
                <a:pt x="515398" y="402708"/>
                <a:pt x="501818" y="328014"/>
              </a:cubicBezTo>
              <a:cubicBezTo>
                <a:pt x="500539" y="320982"/>
                <a:pt x="499873" y="313768"/>
                <a:pt x="497613" y="306987"/>
              </a:cubicBezTo>
              <a:cubicBezTo>
                <a:pt x="495631" y="301040"/>
                <a:pt x="492006" y="295773"/>
                <a:pt x="489202" y="290166"/>
              </a:cubicBezTo>
              <a:cubicBezTo>
                <a:pt x="487069" y="281633"/>
                <a:pt x="484411" y="269173"/>
                <a:pt x="480792" y="260729"/>
              </a:cubicBezTo>
              <a:cubicBezTo>
                <a:pt x="478323" y="254967"/>
                <a:pt x="474709" y="249728"/>
                <a:pt x="472381" y="243908"/>
              </a:cubicBezTo>
              <a:cubicBezTo>
                <a:pt x="469088" y="235676"/>
                <a:pt x="467262" y="226908"/>
                <a:pt x="463970" y="218676"/>
              </a:cubicBezTo>
              <a:cubicBezTo>
                <a:pt x="453232" y="191828"/>
                <a:pt x="458936" y="204401"/>
                <a:pt x="447149" y="180828"/>
              </a:cubicBezTo>
              <a:cubicBezTo>
                <a:pt x="445747" y="175221"/>
                <a:pt x="444973" y="169419"/>
                <a:pt x="442944" y="164007"/>
              </a:cubicBezTo>
              <a:cubicBezTo>
                <a:pt x="440141" y="156532"/>
                <a:pt x="431667" y="141223"/>
                <a:pt x="426123" y="134570"/>
              </a:cubicBezTo>
              <a:cubicBezTo>
                <a:pt x="422316" y="130001"/>
                <a:pt x="417377" y="126469"/>
                <a:pt x="413507" y="121954"/>
              </a:cubicBezTo>
              <a:cubicBezTo>
                <a:pt x="408946" y="116633"/>
                <a:pt x="405847" y="110089"/>
                <a:pt x="400891" y="105133"/>
              </a:cubicBezTo>
              <a:cubicBezTo>
                <a:pt x="382431" y="86673"/>
                <a:pt x="388167" y="98432"/>
                <a:pt x="371454" y="84106"/>
              </a:cubicBezTo>
              <a:cubicBezTo>
                <a:pt x="350388" y="66049"/>
                <a:pt x="360348" y="68754"/>
                <a:pt x="337811" y="54669"/>
              </a:cubicBezTo>
              <a:cubicBezTo>
                <a:pt x="325074" y="46709"/>
                <a:pt x="313763" y="43981"/>
                <a:pt x="299964" y="37848"/>
              </a:cubicBezTo>
              <a:cubicBezTo>
                <a:pt x="294235" y="35302"/>
                <a:pt x="288750" y="32241"/>
                <a:pt x="283143" y="29437"/>
              </a:cubicBezTo>
              <a:cubicBezTo>
                <a:pt x="159534" y="39739"/>
                <a:pt x="300317" y="23043"/>
                <a:pt x="190626" y="50464"/>
              </a:cubicBezTo>
              <a:lnTo>
                <a:pt x="156984" y="58874"/>
              </a:lnTo>
              <a:cubicBezTo>
                <a:pt x="103016" y="94854"/>
                <a:pt x="149625" y="59108"/>
                <a:pt x="123341" y="88312"/>
              </a:cubicBezTo>
              <a:cubicBezTo>
                <a:pt x="114058" y="98626"/>
                <a:pt x="93904" y="117749"/>
                <a:pt x="93904" y="117749"/>
              </a:cubicBezTo>
              <a:cubicBezTo>
                <a:pt x="91100" y="126159"/>
                <a:pt x="87231" y="134287"/>
                <a:pt x="85493" y="142980"/>
              </a:cubicBezTo>
              <a:cubicBezTo>
                <a:pt x="83093" y="154983"/>
                <a:pt x="80646" y="168952"/>
                <a:pt x="77083" y="180828"/>
              </a:cubicBezTo>
              <a:cubicBezTo>
                <a:pt x="74535" y="189320"/>
                <a:pt x="72273" y="197958"/>
                <a:pt x="68672" y="206060"/>
              </a:cubicBezTo>
              <a:cubicBezTo>
                <a:pt x="66619" y="210678"/>
                <a:pt x="62315" y="214058"/>
                <a:pt x="60262" y="218676"/>
              </a:cubicBezTo>
              <a:cubicBezTo>
                <a:pt x="56661" y="226778"/>
                <a:pt x="54001" y="235307"/>
                <a:pt x="51851" y="243908"/>
              </a:cubicBezTo>
              <a:cubicBezTo>
                <a:pt x="50504" y="249296"/>
                <a:pt x="46457" y="267313"/>
                <a:pt x="43441" y="273345"/>
              </a:cubicBezTo>
              <a:cubicBezTo>
                <a:pt x="41181" y="277866"/>
                <a:pt x="37834" y="281756"/>
                <a:pt x="35030" y="285961"/>
              </a:cubicBezTo>
              <a:cubicBezTo>
                <a:pt x="17978" y="354173"/>
                <a:pt x="44194" y="257320"/>
                <a:pt x="22414" y="315398"/>
              </a:cubicBezTo>
              <a:cubicBezTo>
                <a:pt x="17962" y="327271"/>
                <a:pt x="15017" y="367682"/>
                <a:pt x="14003" y="374272"/>
              </a:cubicBezTo>
              <a:cubicBezTo>
                <a:pt x="13124" y="379984"/>
                <a:pt x="11052" y="385451"/>
                <a:pt x="9798" y="391093"/>
              </a:cubicBezTo>
              <a:cubicBezTo>
                <a:pt x="8248" y="398070"/>
                <a:pt x="6680" y="405055"/>
                <a:pt x="5593" y="412119"/>
              </a:cubicBezTo>
              <a:cubicBezTo>
                <a:pt x="3875" y="423289"/>
                <a:pt x="2790" y="434548"/>
                <a:pt x="1388" y="445762"/>
              </a:cubicBezTo>
              <a:cubicBezTo>
                <a:pt x="1439" y="447189"/>
                <a:pt x="3356" y="571204"/>
                <a:pt x="9798" y="605563"/>
              </a:cubicBezTo>
              <a:cubicBezTo>
                <a:pt x="11432" y="614277"/>
                <a:pt x="16059" y="622194"/>
                <a:pt x="18209" y="630795"/>
              </a:cubicBezTo>
              <a:cubicBezTo>
                <a:pt x="19556" y="636183"/>
                <a:pt x="23603" y="654200"/>
                <a:pt x="26619" y="660232"/>
              </a:cubicBezTo>
              <a:cubicBezTo>
                <a:pt x="28879" y="664753"/>
                <a:pt x="32226" y="668643"/>
                <a:pt x="35030" y="672848"/>
              </a:cubicBezTo>
              <a:cubicBezTo>
                <a:pt x="43782" y="707857"/>
                <a:pt x="33125" y="673242"/>
                <a:pt x="47646" y="702285"/>
              </a:cubicBezTo>
              <a:cubicBezTo>
                <a:pt x="56249" y="719492"/>
                <a:pt x="46199" y="711445"/>
                <a:pt x="60262" y="727517"/>
              </a:cubicBezTo>
              <a:cubicBezTo>
                <a:pt x="66789" y="734976"/>
                <a:pt x="75012" y="740872"/>
                <a:pt x="81288" y="748543"/>
              </a:cubicBezTo>
              <a:cubicBezTo>
                <a:pt x="87689" y="756366"/>
                <a:pt x="102629" y="782816"/>
                <a:pt x="98109" y="773775"/>
              </a:cubicBezTo>
              <a:cubicBezTo>
                <a:pt x="89297" y="756150"/>
                <a:pt x="88446" y="755611"/>
                <a:pt x="81288" y="735927"/>
              </a:cubicBezTo>
              <a:cubicBezTo>
                <a:pt x="78258" y="727596"/>
                <a:pt x="75908" y="719027"/>
                <a:pt x="72878" y="710696"/>
              </a:cubicBezTo>
              <a:cubicBezTo>
                <a:pt x="70298" y="703602"/>
                <a:pt x="66854" y="696831"/>
                <a:pt x="64467" y="689669"/>
              </a:cubicBezTo>
              <a:cubicBezTo>
                <a:pt x="62639" y="684186"/>
                <a:pt x="61850" y="678405"/>
                <a:pt x="60262" y="672848"/>
              </a:cubicBezTo>
              <a:cubicBezTo>
                <a:pt x="59044" y="668586"/>
                <a:pt x="57274" y="664494"/>
                <a:pt x="56056" y="660232"/>
              </a:cubicBezTo>
              <a:cubicBezTo>
                <a:pt x="54468" y="654675"/>
                <a:pt x="53679" y="648894"/>
                <a:pt x="51851" y="643411"/>
              </a:cubicBezTo>
              <a:cubicBezTo>
                <a:pt x="49464" y="636249"/>
                <a:pt x="46244" y="629393"/>
                <a:pt x="43441" y="622384"/>
              </a:cubicBezTo>
              <a:cubicBezTo>
                <a:pt x="42039" y="611170"/>
                <a:pt x="42147" y="599662"/>
                <a:pt x="39235" y="588742"/>
              </a:cubicBezTo>
              <a:cubicBezTo>
                <a:pt x="36484" y="578427"/>
                <a:pt x="30310" y="569322"/>
                <a:pt x="26619" y="559305"/>
              </a:cubicBezTo>
              <a:cubicBezTo>
                <a:pt x="12114" y="519935"/>
                <a:pt x="12747" y="520640"/>
                <a:pt x="5593" y="492020"/>
              </a:cubicBezTo>
              <a:cubicBezTo>
                <a:pt x="-1291" y="430060"/>
                <a:pt x="-2418" y="437166"/>
                <a:pt x="5593" y="349040"/>
              </a:cubicBezTo>
              <a:cubicBezTo>
                <a:pt x="6639" y="337528"/>
                <a:pt x="11404" y="326661"/>
                <a:pt x="14003" y="315398"/>
              </a:cubicBezTo>
              <a:cubicBezTo>
                <a:pt x="15610" y="308433"/>
                <a:pt x="15949" y="301152"/>
                <a:pt x="18209" y="294371"/>
              </a:cubicBezTo>
              <a:cubicBezTo>
                <a:pt x="20191" y="288424"/>
                <a:pt x="24418" y="283420"/>
                <a:pt x="26619" y="277550"/>
              </a:cubicBezTo>
              <a:cubicBezTo>
                <a:pt x="28648" y="272138"/>
                <a:pt x="29164" y="266265"/>
                <a:pt x="30825" y="260729"/>
              </a:cubicBezTo>
              <a:cubicBezTo>
                <a:pt x="33373" y="252237"/>
                <a:pt x="37084" y="244098"/>
                <a:pt x="39235" y="235497"/>
              </a:cubicBezTo>
              <a:cubicBezTo>
                <a:pt x="40637" y="229890"/>
                <a:pt x="41164" y="223988"/>
                <a:pt x="43441" y="218676"/>
              </a:cubicBezTo>
              <a:cubicBezTo>
                <a:pt x="45432" y="214031"/>
                <a:pt x="49798" y="210678"/>
                <a:pt x="51851" y="206060"/>
              </a:cubicBezTo>
              <a:cubicBezTo>
                <a:pt x="55452" y="197958"/>
                <a:pt x="57458" y="189239"/>
                <a:pt x="60262" y="180828"/>
              </a:cubicBezTo>
              <a:cubicBezTo>
                <a:pt x="61664" y="176623"/>
                <a:pt x="62008" y="171900"/>
                <a:pt x="64467" y="168212"/>
              </a:cubicBezTo>
              <a:lnTo>
                <a:pt x="81288" y="142980"/>
              </a:lnTo>
              <a:cubicBezTo>
                <a:pt x="84091" y="138775"/>
                <a:pt x="87822" y="135058"/>
                <a:pt x="89699" y="130365"/>
              </a:cubicBezTo>
              <a:cubicBezTo>
                <a:pt x="102076" y="99419"/>
                <a:pt x="92522" y="119118"/>
                <a:pt x="106520" y="96722"/>
              </a:cubicBezTo>
              <a:cubicBezTo>
                <a:pt x="110852" y="89791"/>
                <a:pt x="114232" y="82235"/>
                <a:pt x="119136" y="75696"/>
              </a:cubicBezTo>
              <a:cubicBezTo>
                <a:pt x="122704" y="70938"/>
                <a:pt x="127276" y="66996"/>
                <a:pt x="131752" y="63080"/>
              </a:cubicBezTo>
              <a:cubicBezTo>
                <a:pt x="151686" y="45637"/>
                <a:pt x="151888" y="46793"/>
                <a:pt x="173805" y="33643"/>
              </a:cubicBezTo>
              <a:cubicBezTo>
                <a:pt x="203242" y="35045"/>
                <a:pt x="232747" y="35401"/>
                <a:pt x="262116" y="37848"/>
              </a:cubicBezTo>
              <a:cubicBezTo>
                <a:pt x="271550" y="38634"/>
                <a:pt x="280139" y="45315"/>
                <a:pt x="287348" y="50464"/>
              </a:cubicBezTo>
              <a:cubicBezTo>
                <a:pt x="293051" y="54538"/>
                <a:pt x="298983" y="58365"/>
                <a:pt x="304169" y="63080"/>
              </a:cubicBezTo>
              <a:cubicBezTo>
                <a:pt x="314437" y="72415"/>
                <a:pt x="322652" y="83998"/>
                <a:pt x="333606" y="92517"/>
              </a:cubicBezTo>
              <a:cubicBezTo>
                <a:pt x="346222" y="102329"/>
                <a:pt x="360153" y="110653"/>
                <a:pt x="371454" y="121954"/>
              </a:cubicBezTo>
              <a:cubicBezTo>
                <a:pt x="377061" y="127561"/>
                <a:pt x="382307" y="133553"/>
                <a:pt x="388275" y="138775"/>
              </a:cubicBezTo>
              <a:cubicBezTo>
                <a:pt x="393550" y="143390"/>
                <a:pt x="399821" y="146776"/>
                <a:pt x="405096" y="151391"/>
              </a:cubicBezTo>
              <a:cubicBezTo>
                <a:pt x="414707" y="159801"/>
                <a:pt x="427913" y="173684"/>
                <a:pt x="434533" y="185033"/>
              </a:cubicBezTo>
              <a:cubicBezTo>
                <a:pt x="440850" y="195863"/>
                <a:pt x="445747" y="207462"/>
                <a:pt x="451354" y="218676"/>
              </a:cubicBezTo>
              <a:lnTo>
                <a:pt x="459765" y="235497"/>
              </a:lnTo>
              <a:cubicBezTo>
                <a:pt x="467416" y="266104"/>
                <a:pt x="459713" y="238511"/>
                <a:pt x="472381" y="273345"/>
              </a:cubicBezTo>
              <a:cubicBezTo>
                <a:pt x="498764" y="345894"/>
                <a:pt x="455025" y="234155"/>
                <a:pt x="497613" y="340629"/>
              </a:cubicBezTo>
              <a:cubicBezTo>
                <a:pt x="500416" y="347638"/>
                <a:pt x="504542" y="354254"/>
                <a:pt x="506023" y="361656"/>
              </a:cubicBezTo>
              <a:cubicBezTo>
                <a:pt x="507425" y="368665"/>
                <a:pt x="507969" y="375901"/>
                <a:pt x="510229" y="382682"/>
              </a:cubicBezTo>
              <a:cubicBezTo>
                <a:pt x="515003" y="397005"/>
                <a:pt x="523389" y="410088"/>
                <a:pt x="527050" y="424735"/>
              </a:cubicBezTo>
              <a:cubicBezTo>
                <a:pt x="537317" y="465806"/>
                <a:pt x="524769" y="414477"/>
                <a:pt x="535460" y="462583"/>
              </a:cubicBezTo>
              <a:cubicBezTo>
                <a:pt x="536714" y="468225"/>
                <a:pt x="538078" y="473847"/>
                <a:pt x="539666" y="479404"/>
              </a:cubicBezTo>
              <a:cubicBezTo>
                <a:pt x="540884" y="483666"/>
                <a:pt x="542909" y="487693"/>
                <a:pt x="543871" y="492020"/>
              </a:cubicBezTo>
              <a:cubicBezTo>
                <a:pt x="545721" y="500344"/>
                <a:pt x="546674" y="508841"/>
                <a:pt x="548076" y="517252"/>
              </a:cubicBezTo>
              <a:cubicBezTo>
                <a:pt x="549478" y="536877"/>
                <a:pt x="550773" y="556509"/>
                <a:pt x="552282" y="576126"/>
              </a:cubicBezTo>
              <a:cubicBezTo>
                <a:pt x="553577" y="592956"/>
                <a:pt x="556487" y="609710"/>
                <a:pt x="556487" y="626590"/>
              </a:cubicBezTo>
              <a:cubicBezTo>
                <a:pt x="556487" y="631023"/>
                <a:pt x="554264" y="635241"/>
                <a:pt x="552282" y="639206"/>
              </a:cubicBezTo>
              <a:cubicBezTo>
                <a:pt x="551655" y="640460"/>
                <a:pt x="552282" y="636402"/>
                <a:pt x="552282" y="635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979835</xdr:colOff>
      <xdr:row>151</xdr:row>
      <xdr:rowOff>218676</xdr:rowOff>
    </xdr:from>
    <xdr:to>
      <xdr:col>7</xdr:col>
      <xdr:colOff>790596</xdr:colOff>
      <xdr:row>154</xdr:row>
      <xdr:rowOff>164006</xdr:rowOff>
    </xdr:to>
    <xdr:sp macro="" textlink="">
      <xdr:nvSpPr>
        <xdr:cNvPr id="12" name="Rounded Rectangular Callout 11">
          <a:extLst>
            <a:ext uri="{FF2B5EF4-FFF2-40B4-BE49-F238E27FC236}">
              <a16:creationId xmlns:a16="http://schemas.microsoft.com/office/drawing/2014/main" id="{3F0C6855-8F3C-3487-6DE5-1A5B9E4340BE}"/>
            </a:ext>
          </a:extLst>
        </xdr:cNvPr>
        <xdr:cNvSpPr/>
      </xdr:nvSpPr>
      <xdr:spPr>
        <a:xfrm>
          <a:off x="11018322351" y="40299371"/>
          <a:ext cx="1564371" cy="740132"/>
        </a:xfrm>
        <a:prstGeom prst="wedgeRoundRectCallout">
          <a:avLst>
            <a:gd name="adj1" fmla="val 54973"/>
            <a:gd name="adj2" fmla="val 3522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חלום</a:t>
          </a:r>
          <a:r>
            <a:rPr lang="he-IL" sz="1100" baseline="0"/>
            <a:t> שלי 100,000 שקל</a:t>
          </a:r>
          <a:endParaRPr lang="en-US" sz="1100"/>
        </a:p>
      </xdr:txBody>
    </xdr:sp>
    <xdr:clientData/>
  </xdr:twoCellAnchor>
  <xdr:twoCellAnchor>
    <xdr:from>
      <xdr:col>4</xdr:col>
      <xdr:colOff>100928</xdr:colOff>
      <xdr:row>155</xdr:row>
      <xdr:rowOff>124057</xdr:rowOff>
    </xdr:from>
    <xdr:to>
      <xdr:col>5</xdr:col>
      <xdr:colOff>868394</xdr:colOff>
      <xdr:row>156</xdr:row>
      <xdr:rowOff>88311</xdr:rowOff>
    </xdr:to>
    <xdr:sp macro="" textlink="">
      <xdr:nvSpPr>
        <xdr:cNvPr id="16" name="Left Brace 15">
          <a:extLst>
            <a:ext uri="{FF2B5EF4-FFF2-40B4-BE49-F238E27FC236}">
              <a16:creationId xmlns:a16="http://schemas.microsoft.com/office/drawing/2014/main" id="{59B1D0EF-EAF9-D4D0-F488-D09ED4177E68}"/>
            </a:ext>
          </a:extLst>
        </xdr:cNvPr>
        <xdr:cNvSpPr/>
      </xdr:nvSpPr>
      <xdr:spPr>
        <a:xfrm rot="16200000">
          <a:off x="11020895994" y="40379272"/>
          <a:ext cx="229188" cy="2024850"/>
        </a:xfrm>
        <a:prstGeom prst="leftBrace">
          <a:avLst>
            <a:gd name="adj1" fmla="val 8333"/>
            <a:gd name="adj2" fmla="val 75545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381000</xdr:colOff>
      <xdr:row>121</xdr:row>
      <xdr:rowOff>0</xdr:rowOff>
    </xdr:from>
    <xdr:to>
      <xdr:col>3</xdr:col>
      <xdr:colOff>395111</xdr:colOff>
      <xdr:row>122</xdr:row>
      <xdr:rowOff>47037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B471AB7-9F4A-257B-45FF-8B28AACBBCBF}"/>
            </a:ext>
          </a:extLst>
        </xdr:cNvPr>
        <xdr:cNvCxnSpPr/>
      </xdr:nvCxnSpPr>
      <xdr:spPr>
        <a:xfrm>
          <a:off x="13560646074" y="19111148"/>
          <a:ext cx="14111" cy="2398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736386</xdr:colOff>
      <xdr:row>133</xdr:row>
      <xdr:rowOff>101386</xdr:rowOff>
    </xdr:from>
    <xdr:to>
      <xdr:col>4</xdr:col>
      <xdr:colOff>90715</xdr:colOff>
      <xdr:row>134</xdr:row>
      <xdr:rowOff>74705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3D4CA65E-A4B0-F254-A1A7-B49F52351A8B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133</xdr:row>
      <xdr:rowOff>101386</xdr:rowOff>
    </xdr:from>
    <xdr:to>
      <xdr:col>3</xdr:col>
      <xdr:colOff>90715</xdr:colOff>
      <xdr:row>134</xdr:row>
      <xdr:rowOff>74705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5A1CA9-C3DF-3341-BAE6-02CCB996A5A6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133</xdr:row>
      <xdr:rowOff>101386</xdr:rowOff>
    </xdr:from>
    <xdr:to>
      <xdr:col>3</xdr:col>
      <xdr:colOff>90715</xdr:colOff>
      <xdr:row>134</xdr:row>
      <xdr:rowOff>74705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4B8A645A-62F3-AF47-A8D1-4A401ED6F2C2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36353D95-BFB1-9B4C-BA96-6A389240F2C1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5CF7303-B410-D746-8B65-CE9FDF40DE3A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9745BB5-DE9A-194C-8BA1-54A8388FD280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736386</xdr:colOff>
      <xdr:row>133</xdr:row>
      <xdr:rowOff>101386</xdr:rowOff>
    </xdr:from>
    <xdr:to>
      <xdr:col>1</xdr:col>
      <xdr:colOff>90715</xdr:colOff>
      <xdr:row>134</xdr:row>
      <xdr:rowOff>74705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C17F2E4E-4676-604D-865C-BE339159C4D7}"/>
            </a:ext>
          </a:extLst>
        </xdr:cNvPr>
        <xdr:cNvCxnSpPr/>
      </xdr:nvCxnSpPr>
      <xdr:spPr>
        <a:xfrm>
          <a:off x="13549475251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184568</xdr:colOff>
      <xdr:row>161</xdr:row>
      <xdr:rowOff>65917</xdr:rowOff>
    </xdr:from>
    <xdr:to>
      <xdr:col>7</xdr:col>
      <xdr:colOff>272457</xdr:colOff>
      <xdr:row>161</xdr:row>
      <xdr:rowOff>74706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1738C210-B8F4-2828-1879-653891407868}"/>
            </a:ext>
          </a:extLst>
        </xdr:cNvPr>
        <xdr:cNvCxnSpPr/>
      </xdr:nvCxnSpPr>
      <xdr:spPr>
        <a:xfrm>
          <a:off x="13529736263" y="25980069"/>
          <a:ext cx="5044844" cy="87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430659</xdr:colOff>
      <xdr:row>158</xdr:row>
      <xdr:rowOff>138428</xdr:rowOff>
    </xdr:from>
    <xdr:to>
      <xdr:col>4</xdr:col>
      <xdr:colOff>410883</xdr:colOff>
      <xdr:row>160</xdr:row>
      <xdr:rowOff>21976</xdr:rowOff>
    </xdr:to>
    <xdr:sp macro="" textlink="">
      <xdr:nvSpPr>
        <xdr:cNvPr id="14" name="Left Brace 13">
          <a:extLst>
            <a:ext uri="{FF2B5EF4-FFF2-40B4-BE49-F238E27FC236}">
              <a16:creationId xmlns:a16="http://schemas.microsoft.com/office/drawing/2014/main" id="{5EB1EA72-990C-49C6-81FA-B0714FA1FAE8}"/>
            </a:ext>
          </a:extLst>
        </xdr:cNvPr>
        <xdr:cNvSpPr/>
      </xdr:nvSpPr>
      <xdr:spPr>
        <a:xfrm rot="5400000">
          <a:off x="13532761850" y="24800158"/>
          <a:ext cx="261472" cy="1632543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307612</xdr:colOff>
      <xdr:row>163</xdr:row>
      <xdr:rowOff>184568</xdr:rowOff>
    </xdr:from>
    <xdr:to>
      <xdr:col>3</xdr:col>
      <xdr:colOff>457024</xdr:colOff>
      <xdr:row>165</xdr:row>
      <xdr:rowOff>61522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E16F2F02-F96B-0227-5E39-E9A52BE103A1}"/>
            </a:ext>
          </a:extLst>
        </xdr:cNvPr>
        <xdr:cNvSpPr/>
      </xdr:nvSpPr>
      <xdr:spPr>
        <a:xfrm>
          <a:off x="13532856332" y="26476644"/>
          <a:ext cx="149412" cy="25487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603372</xdr:colOff>
      <xdr:row>32</xdr:row>
      <xdr:rowOff>9731</xdr:rowOff>
    </xdr:from>
    <xdr:to>
      <xdr:col>5</xdr:col>
      <xdr:colOff>77855</xdr:colOff>
      <xdr:row>34</xdr:row>
      <xdr:rowOff>43793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CFDA769C-A5F8-87F9-11ED-1A2A3C75EC92}"/>
            </a:ext>
          </a:extLst>
        </xdr:cNvPr>
        <xdr:cNvCxnSpPr/>
      </xdr:nvCxnSpPr>
      <xdr:spPr>
        <a:xfrm flipH="1">
          <a:off x="13548681149" y="6082375"/>
          <a:ext cx="301686" cy="41360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184058</xdr:colOff>
      <xdr:row>117</xdr:row>
      <xdr:rowOff>128718</xdr:rowOff>
    </xdr:from>
    <xdr:ext cx="2286456" cy="3480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9999901-3BBB-7028-44E3-30E6CB1CDAD9}"/>
                </a:ext>
              </a:extLst>
            </xdr:cNvPr>
            <xdr:cNvSpPr txBox="1"/>
          </xdr:nvSpPr>
          <xdr:spPr>
            <a:xfrm>
              <a:off x="13561129486" y="22442679"/>
              <a:ext cx="2286456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4,000</m:t>
                        </m:r>
                      </m:num>
                      <m:den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1+9%</m:t>
                            </m:r>
                          </m:e>
                        </m:d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∗(1+7%)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9999901-3BBB-7028-44E3-30E6CB1CDAD9}"/>
                </a:ext>
              </a:extLst>
            </xdr:cNvPr>
            <xdr:cNvSpPr txBox="1"/>
          </xdr:nvSpPr>
          <xdr:spPr>
            <a:xfrm>
              <a:off x="13561129486" y="22442679"/>
              <a:ext cx="2286456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4,000/((1+9%)∗(1+7%))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98164</xdr:colOff>
      <xdr:row>118</xdr:row>
      <xdr:rowOff>42947</xdr:rowOff>
    </xdr:from>
    <xdr:to>
      <xdr:col>8</xdr:col>
      <xdr:colOff>460145</xdr:colOff>
      <xdr:row>118</xdr:row>
      <xdr:rowOff>177923</xdr:rowOff>
    </xdr:to>
    <xdr:sp macro="" textlink="">
      <xdr:nvSpPr>
        <xdr:cNvPr id="16" name="Left Arrow 15">
          <a:extLst>
            <a:ext uri="{FF2B5EF4-FFF2-40B4-BE49-F238E27FC236}">
              <a16:creationId xmlns:a16="http://schemas.microsoft.com/office/drawing/2014/main" id="{35D3DE52-8064-AC7E-A67C-B0A0F5BA0F33}"/>
            </a:ext>
          </a:extLst>
        </xdr:cNvPr>
        <xdr:cNvSpPr/>
      </xdr:nvSpPr>
      <xdr:spPr>
        <a:xfrm>
          <a:off x="13563139855" y="2254710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377317</xdr:colOff>
      <xdr:row>115</xdr:row>
      <xdr:rowOff>162587</xdr:rowOff>
    </xdr:from>
    <xdr:to>
      <xdr:col>9</xdr:col>
      <xdr:colOff>512293</xdr:colOff>
      <xdr:row>117</xdr:row>
      <xdr:rowOff>131911</xdr:rowOff>
    </xdr:to>
    <xdr:sp macro="" textlink="">
      <xdr:nvSpPr>
        <xdr:cNvPr id="17" name="Left Arrow 16">
          <a:extLst>
            <a:ext uri="{FF2B5EF4-FFF2-40B4-BE49-F238E27FC236}">
              <a16:creationId xmlns:a16="http://schemas.microsoft.com/office/drawing/2014/main" id="{B6AFDEFE-8F59-FB97-84EC-A2469C8A8282}"/>
            </a:ext>
          </a:extLst>
        </xdr:cNvPr>
        <xdr:cNvSpPr/>
      </xdr:nvSpPr>
      <xdr:spPr>
        <a:xfrm rot="5400000">
          <a:off x="13562145943" y="22197394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671809</xdr:colOff>
      <xdr:row>119</xdr:row>
      <xdr:rowOff>144181</xdr:rowOff>
    </xdr:from>
    <xdr:to>
      <xdr:col>9</xdr:col>
      <xdr:colOff>806785</xdr:colOff>
      <xdr:row>121</xdr:row>
      <xdr:rowOff>113505</xdr:rowOff>
    </xdr:to>
    <xdr:sp macro="" textlink="">
      <xdr:nvSpPr>
        <xdr:cNvPr id="18" name="Left Arrow 17">
          <a:extLst>
            <a:ext uri="{FF2B5EF4-FFF2-40B4-BE49-F238E27FC236}">
              <a16:creationId xmlns:a16="http://schemas.microsoft.com/office/drawing/2014/main" id="{40119305-B729-6AE3-16B9-44A1F523923C}"/>
            </a:ext>
          </a:extLst>
        </xdr:cNvPr>
        <xdr:cNvSpPr/>
      </xdr:nvSpPr>
      <xdr:spPr>
        <a:xfrm rot="16200000">
          <a:off x="13561851451" y="2295203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690213</xdr:colOff>
      <xdr:row>119</xdr:row>
      <xdr:rowOff>156451</xdr:rowOff>
    </xdr:from>
    <xdr:to>
      <xdr:col>8</xdr:col>
      <xdr:colOff>825189</xdr:colOff>
      <xdr:row>121</xdr:row>
      <xdr:rowOff>125775</xdr:rowOff>
    </xdr:to>
    <xdr:sp macro="" textlink="">
      <xdr:nvSpPr>
        <xdr:cNvPr id="19" name="Left Arrow 18">
          <a:extLst>
            <a:ext uri="{FF2B5EF4-FFF2-40B4-BE49-F238E27FC236}">
              <a16:creationId xmlns:a16="http://schemas.microsoft.com/office/drawing/2014/main" id="{3D23CBFA-51B9-4F09-4D16-5AEFB9586216}"/>
            </a:ext>
          </a:extLst>
        </xdr:cNvPr>
        <xdr:cNvSpPr/>
      </xdr:nvSpPr>
      <xdr:spPr>
        <a:xfrm rot="16200000">
          <a:off x="13562661308" y="2296430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793750</xdr:colOff>
      <xdr:row>152</xdr:row>
      <xdr:rowOff>58796</xdr:rowOff>
    </xdr:from>
    <xdr:to>
      <xdr:col>2</xdr:col>
      <xdr:colOff>176389</xdr:colOff>
      <xdr:row>154</xdr:row>
      <xdr:rowOff>141111</xdr:rowOff>
    </xdr:to>
    <xdr:sp macro="" textlink="">
      <xdr:nvSpPr>
        <xdr:cNvPr id="20" name="Left Brace 19">
          <a:extLst>
            <a:ext uri="{FF2B5EF4-FFF2-40B4-BE49-F238E27FC236}">
              <a16:creationId xmlns:a16="http://schemas.microsoft.com/office/drawing/2014/main" id="{F90768D9-1F5B-D7B6-C6E9-4570B73D9F76}"/>
            </a:ext>
          </a:extLst>
        </xdr:cNvPr>
        <xdr:cNvSpPr/>
      </xdr:nvSpPr>
      <xdr:spPr>
        <a:xfrm>
          <a:off x="13484636574" y="28763148"/>
          <a:ext cx="205787" cy="458611"/>
        </a:xfrm>
        <a:prstGeom prst="leftBrac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717315</xdr:colOff>
      <xdr:row>193</xdr:row>
      <xdr:rowOff>47037</xdr:rowOff>
    </xdr:from>
    <xdr:to>
      <xdr:col>4</xdr:col>
      <xdr:colOff>76435</xdr:colOff>
      <xdr:row>193</xdr:row>
      <xdr:rowOff>170509</xdr:rowOff>
    </xdr:to>
    <xdr:sp macro="" textlink="">
      <xdr:nvSpPr>
        <xdr:cNvPr id="21" name="Right Arrow 20">
          <a:extLst>
            <a:ext uri="{FF2B5EF4-FFF2-40B4-BE49-F238E27FC236}">
              <a16:creationId xmlns:a16="http://schemas.microsoft.com/office/drawing/2014/main" id="{61E0EAE5-C99B-4B00-F425-42D7FA7FB9DD}"/>
            </a:ext>
          </a:extLst>
        </xdr:cNvPr>
        <xdr:cNvSpPr/>
      </xdr:nvSpPr>
      <xdr:spPr>
        <a:xfrm>
          <a:off x="13483090231" y="36500741"/>
          <a:ext cx="182269" cy="1234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682037</xdr:colOff>
      <xdr:row>196</xdr:row>
      <xdr:rowOff>52917</xdr:rowOff>
    </xdr:from>
    <xdr:to>
      <xdr:col>3</xdr:col>
      <xdr:colOff>41158</xdr:colOff>
      <xdr:row>196</xdr:row>
      <xdr:rowOff>176389</xdr:rowOff>
    </xdr:to>
    <xdr:sp macro="" textlink="">
      <xdr:nvSpPr>
        <xdr:cNvPr id="22" name="Right Arrow 21">
          <a:extLst>
            <a:ext uri="{FF2B5EF4-FFF2-40B4-BE49-F238E27FC236}">
              <a16:creationId xmlns:a16="http://schemas.microsoft.com/office/drawing/2014/main" id="{DF1F4A86-8352-63D5-9E2D-92A9B15FE6CE}"/>
            </a:ext>
          </a:extLst>
        </xdr:cNvPr>
        <xdr:cNvSpPr/>
      </xdr:nvSpPr>
      <xdr:spPr>
        <a:xfrm>
          <a:off x="13483948657" y="37071065"/>
          <a:ext cx="182269" cy="1234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6</xdr:col>
      <xdr:colOff>411574</xdr:colOff>
      <xdr:row>187</xdr:row>
      <xdr:rowOff>123472</xdr:rowOff>
    </xdr:from>
    <xdr:to>
      <xdr:col>9</xdr:col>
      <xdr:colOff>177330</xdr:colOff>
      <xdr:row>200</xdr:row>
      <xdr:rowOff>39746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C6E012A-9C6C-ECD1-39DE-E2E74F8F6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873596" y="35448287"/>
          <a:ext cx="2235200" cy="2362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752281</xdr:colOff>
      <xdr:row>73</xdr:row>
      <xdr:rowOff>98096</xdr:rowOff>
    </xdr:from>
    <xdr:to>
      <xdr:col>1</xdr:col>
      <xdr:colOff>97357</xdr:colOff>
      <xdr:row>74</xdr:row>
      <xdr:rowOff>161332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F1250F05-6672-529C-E2BD-A61647246522}"/>
            </a:ext>
          </a:extLst>
        </xdr:cNvPr>
        <xdr:cNvSpPr/>
      </xdr:nvSpPr>
      <xdr:spPr>
        <a:xfrm>
          <a:off x="14356325543" y="15172996"/>
          <a:ext cx="221376" cy="27913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706782</xdr:colOff>
      <xdr:row>86</xdr:row>
      <xdr:rowOff>77191</xdr:rowOff>
    </xdr:from>
    <xdr:to>
      <xdr:col>2</xdr:col>
      <xdr:colOff>69644</xdr:colOff>
      <xdr:row>87</xdr:row>
      <xdr:rowOff>77304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3DFDE81-2030-23AC-6477-4B9CC5C76B60}"/>
            </a:ext>
          </a:extLst>
        </xdr:cNvPr>
        <xdr:cNvCxnSpPr/>
      </xdr:nvCxnSpPr>
      <xdr:spPr>
        <a:xfrm>
          <a:off x="14382614095" y="17928974"/>
          <a:ext cx="240818" cy="2044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695739</xdr:colOff>
      <xdr:row>111</xdr:row>
      <xdr:rowOff>80284</xdr:rowOff>
    </xdr:from>
    <xdr:to>
      <xdr:col>4</xdr:col>
      <xdr:colOff>78037</xdr:colOff>
      <xdr:row>112</xdr:row>
      <xdr:rowOff>110434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3888A22-0D51-4D48-B6B6-2C1997C3C77C}"/>
            </a:ext>
          </a:extLst>
        </xdr:cNvPr>
        <xdr:cNvCxnSpPr/>
      </xdr:nvCxnSpPr>
      <xdr:spPr>
        <a:xfrm>
          <a:off x="14380849789" y="23039675"/>
          <a:ext cx="260254" cy="23445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661036</xdr:colOff>
      <xdr:row>107</xdr:row>
      <xdr:rowOff>131341</xdr:rowOff>
    </xdr:from>
    <xdr:to>
      <xdr:col>1</xdr:col>
      <xdr:colOff>60336</xdr:colOff>
      <xdr:row>108</xdr:row>
      <xdr:rowOff>185625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3A44AFC6-1BE4-E239-C149-6C291244AFD1}"/>
            </a:ext>
          </a:extLst>
        </xdr:cNvPr>
        <xdr:cNvSpPr/>
      </xdr:nvSpPr>
      <xdr:spPr>
        <a:xfrm>
          <a:off x="14378353079" y="22172208"/>
          <a:ext cx="276942" cy="257347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664196</xdr:colOff>
      <xdr:row>102</xdr:row>
      <xdr:rowOff>58823</xdr:rowOff>
    </xdr:from>
    <xdr:to>
      <xdr:col>1</xdr:col>
      <xdr:colOff>16021</xdr:colOff>
      <xdr:row>107</xdr:row>
      <xdr:rowOff>90441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F781A5C9-9806-8662-0F58-166F8CC4E6F6}"/>
            </a:ext>
          </a:extLst>
        </xdr:cNvPr>
        <xdr:cNvSpPr/>
      </xdr:nvSpPr>
      <xdr:spPr>
        <a:xfrm>
          <a:off x="14378397394" y="21084379"/>
          <a:ext cx="229467" cy="1046929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685575</xdr:colOff>
      <xdr:row>199</xdr:row>
      <xdr:rowOff>157345</xdr:rowOff>
    </xdr:from>
    <xdr:to>
      <xdr:col>7</xdr:col>
      <xdr:colOff>56194</xdr:colOff>
      <xdr:row>201</xdr:row>
      <xdr:rowOff>61814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2C19E003-219A-8085-45CC-C7D91804C7FF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201</xdr:row>
      <xdr:rowOff>89912</xdr:rowOff>
    </xdr:from>
    <xdr:to>
      <xdr:col>6</xdr:col>
      <xdr:colOff>73052</xdr:colOff>
      <xdr:row>201</xdr:row>
      <xdr:rowOff>95532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1816B4F6-C174-A819-06C6-159E00BAAE71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197</xdr:row>
      <xdr:rowOff>106770</xdr:rowOff>
    </xdr:from>
    <xdr:to>
      <xdr:col>6</xdr:col>
      <xdr:colOff>764247</xdr:colOff>
      <xdr:row>200</xdr:row>
      <xdr:rowOff>89912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1D82C1BA-5512-F28A-5DE1-4CC428C11F1C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210</xdr:row>
      <xdr:rowOff>157345</xdr:rowOff>
    </xdr:from>
    <xdr:to>
      <xdr:col>7</xdr:col>
      <xdr:colOff>56194</xdr:colOff>
      <xdr:row>212</xdr:row>
      <xdr:rowOff>61814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BCE80C7-9745-0C40-BDA7-E8AAC7711C35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212</xdr:row>
      <xdr:rowOff>89912</xdr:rowOff>
    </xdr:from>
    <xdr:to>
      <xdr:col>6</xdr:col>
      <xdr:colOff>73052</xdr:colOff>
      <xdr:row>212</xdr:row>
      <xdr:rowOff>95532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950F73A2-A977-3948-92BB-49E8FFFD07B9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208</xdr:row>
      <xdr:rowOff>106770</xdr:rowOff>
    </xdr:from>
    <xdr:to>
      <xdr:col>6</xdr:col>
      <xdr:colOff>764247</xdr:colOff>
      <xdr:row>211</xdr:row>
      <xdr:rowOff>89912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7AEB3A6A-4E3E-4D4D-9B50-81E45C17E3EF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436</xdr:row>
      <xdr:rowOff>157345</xdr:rowOff>
    </xdr:from>
    <xdr:to>
      <xdr:col>7</xdr:col>
      <xdr:colOff>56194</xdr:colOff>
      <xdr:row>438</xdr:row>
      <xdr:rowOff>61814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C0F61956-1776-234F-B3A1-0589D1C4F192}"/>
            </a:ext>
          </a:extLst>
        </xdr:cNvPr>
        <xdr:cNvCxnSpPr/>
      </xdr:nvCxnSpPr>
      <xdr:spPr>
        <a:xfrm>
          <a:off x="13613697261" y="34424254"/>
          <a:ext cx="201892" cy="320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438</xdr:row>
      <xdr:rowOff>89912</xdr:rowOff>
    </xdr:from>
    <xdr:to>
      <xdr:col>6</xdr:col>
      <xdr:colOff>73052</xdr:colOff>
      <xdr:row>438</xdr:row>
      <xdr:rowOff>95532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4405BC75-B58C-2C46-8666-1F3E83515C90}"/>
            </a:ext>
          </a:extLst>
        </xdr:cNvPr>
        <xdr:cNvCxnSpPr/>
      </xdr:nvCxnSpPr>
      <xdr:spPr>
        <a:xfrm flipV="1">
          <a:off x="13614511676" y="34772457"/>
          <a:ext cx="25808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434</xdr:row>
      <xdr:rowOff>106770</xdr:rowOff>
    </xdr:from>
    <xdr:to>
      <xdr:col>6</xdr:col>
      <xdr:colOff>764247</xdr:colOff>
      <xdr:row>437</xdr:row>
      <xdr:rowOff>89912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AC742AD8-535D-5F4E-94A2-2F00FA0096BC}"/>
            </a:ext>
          </a:extLst>
        </xdr:cNvPr>
        <xdr:cNvSpPr txBox="1"/>
      </xdr:nvSpPr>
      <xdr:spPr>
        <a:xfrm>
          <a:off x="13613820481" y="33958043"/>
          <a:ext cx="730531" cy="60659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1</xdr:col>
      <xdr:colOff>805366</xdr:colOff>
      <xdr:row>108</xdr:row>
      <xdr:rowOff>61951</xdr:rowOff>
    </xdr:from>
    <xdr:to>
      <xdr:col>2</xdr:col>
      <xdr:colOff>127344</xdr:colOff>
      <xdr:row>111</xdr:row>
      <xdr:rowOff>158319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FE48FD78-16A8-1127-79D1-6DB144602399}"/>
            </a:ext>
          </a:extLst>
        </xdr:cNvPr>
        <xdr:cNvSpPr/>
      </xdr:nvSpPr>
      <xdr:spPr>
        <a:xfrm>
          <a:off x="14377408428" y="22305881"/>
          <a:ext cx="199621" cy="7055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336825</xdr:colOff>
      <xdr:row>73</xdr:row>
      <xdr:rowOff>128104</xdr:rowOff>
    </xdr:from>
    <xdr:ext cx="64588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A7DDDFF-4BF0-B1C2-29DF-537C5B3E87D8}"/>
                </a:ext>
              </a:extLst>
            </xdr:cNvPr>
            <xdr:cNvSpPr txBox="1"/>
          </xdr:nvSpPr>
          <xdr:spPr>
            <a:xfrm>
              <a:off x="14383456941" y="15268713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A7DDDFF-4BF0-B1C2-29DF-537C5B3E87D8}"/>
                </a:ext>
              </a:extLst>
            </xdr:cNvPr>
            <xdr:cNvSpPr txBox="1"/>
          </xdr:nvSpPr>
          <xdr:spPr>
            <a:xfrm>
              <a:off x="14383456941" y="15268713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541130</xdr:colOff>
      <xdr:row>74</xdr:row>
      <xdr:rowOff>88346</xdr:rowOff>
    </xdr:from>
    <xdr:to>
      <xdr:col>0</xdr:col>
      <xdr:colOff>762000</xdr:colOff>
      <xdr:row>75</xdr:row>
      <xdr:rowOff>126999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9E5E69AB-3948-9F27-DA12-A2515F11E6B2}"/>
            </a:ext>
          </a:extLst>
        </xdr:cNvPr>
        <xdr:cNvSpPr/>
      </xdr:nvSpPr>
      <xdr:spPr>
        <a:xfrm>
          <a:off x="14383677652" y="15444303"/>
          <a:ext cx="220870" cy="254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0</xdr:col>
      <xdr:colOff>708107</xdr:colOff>
      <xdr:row>70</xdr:row>
      <xdr:rowOff>64965</xdr:rowOff>
    </xdr:from>
    <xdr:to>
      <xdr:col>1</xdr:col>
      <xdr:colOff>53183</xdr:colOff>
      <xdr:row>73</xdr:row>
      <xdr:rowOff>121478</xdr:rowOff>
    </xdr:to>
    <xdr:sp macro="" textlink="">
      <xdr:nvSpPr>
        <xdr:cNvPr id="27" name="Freeform 26">
          <a:extLst>
            <a:ext uri="{FF2B5EF4-FFF2-40B4-BE49-F238E27FC236}">
              <a16:creationId xmlns:a16="http://schemas.microsoft.com/office/drawing/2014/main" id="{76C415E3-55B2-75CC-8027-4D7A1E478E84}"/>
            </a:ext>
          </a:extLst>
        </xdr:cNvPr>
        <xdr:cNvSpPr/>
      </xdr:nvSpPr>
      <xdr:spPr>
        <a:xfrm>
          <a:off x="14383508512" y="14592661"/>
          <a:ext cx="223033" cy="66942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292651</xdr:colOff>
      <xdr:row>71</xdr:row>
      <xdr:rowOff>39757</xdr:rowOff>
    </xdr:from>
    <xdr:ext cx="64588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B2C207F-D453-3051-6E59-624872E13BFA}"/>
                </a:ext>
              </a:extLst>
            </xdr:cNvPr>
            <xdr:cNvSpPr txBox="1"/>
          </xdr:nvSpPr>
          <xdr:spPr>
            <a:xfrm>
              <a:off x="14383501115" y="14771757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B2C207F-D453-3051-6E59-624872E13BFA}"/>
                </a:ext>
              </a:extLst>
            </xdr:cNvPr>
            <xdr:cNvSpPr txBox="1"/>
          </xdr:nvSpPr>
          <xdr:spPr>
            <a:xfrm>
              <a:off x="14383501115" y="14771757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513522</xdr:colOff>
      <xdr:row>71</xdr:row>
      <xdr:rowOff>204303</xdr:rowOff>
    </xdr:from>
    <xdr:to>
      <xdr:col>0</xdr:col>
      <xdr:colOff>734392</xdr:colOff>
      <xdr:row>73</xdr:row>
      <xdr:rowOff>49694</xdr:rowOff>
    </xdr:to>
    <xdr:sp macro="" textlink="">
      <xdr:nvSpPr>
        <xdr:cNvPr id="31" name="Rounded Rectangle 30">
          <a:extLst>
            <a:ext uri="{FF2B5EF4-FFF2-40B4-BE49-F238E27FC236}">
              <a16:creationId xmlns:a16="http://schemas.microsoft.com/office/drawing/2014/main" id="{015AA997-ACEF-6352-597E-D39059EB019C}"/>
            </a:ext>
          </a:extLst>
        </xdr:cNvPr>
        <xdr:cNvSpPr/>
      </xdr:nvSpPr>
      <xdr:spPr>
        <a:xfrm>
          <a:off x="14383705260" y="14936303"/>
          <a:ext cx="220870" cy="254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0</xdr:col>
      <xdr:colOff>657087</xdr:colOff>
      <xdr:row>125</xdr:row>
      <xdr:rowOff>104913</xdr:rowOff>
    </xdr:from>
    <xdr:to>
      <xdr:col>7</xdr:col>
      <xdr:colOff>176695</xdr:colOff>
      <xdr:row>125</xdr:row>
      <xdr:rowOff>110435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67D10F8A-69F8-BD96-C3D1-6D2E772BBF71}"/>
            </a:ext>
          </a:extLst>
        </xdr:cNvPr>
        <xdr:cNvCxnSpPr/>
      </xdr:nvCxnSpPr>
      <xdr:spPr>
        <a:xfrm>
          <a:off x="14378117261" y="25924565"/>
          <a:ext cx="5665304" cy="552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425171</xdr:colOff>
      <xdr:row>125</xdr:row>
      <xdr:rowOff>80066</xdr:rowOff>
    </xdr:from>
    <xdr:to>
      <xdr:col>5</xdr:col>
      <xdr:colOff>427932</xdr:colOff>
      <xdr:row>126</xdr:row>
      <xdr:rowOff>88346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64610317-91A4-0C80-BA6C-DFA739DC9473}"/>
            </a:ext>
          </a:extLst>
        </xdr:cNvPr>
        <xdr:cNvSpPr/>
      </xdr:nvSpPr>
      <xdr:spPr>
        <a:xfrm rot="16200000">
          <a:off x="14379956003" y="25565652"/>
          <a:ext cx="212585" cy="880718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425171</xdr:colOff>
      <xdr:row>125</xdr:row>
      <xdr:rowOff>80067</xdr:rowOff>
    </xdr:from>
    <xdr:to>
      <xdr:col>4</xdr:col>
      <xdr:colOff>430696</xdr:colOff>
      <xdr:row>131</xdr:row>
      <xdr:rowOff>138044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A9564EED-04FF-2C8A-5B33-D6139EE1E3D3}"/>
            </a:ext>
          </a:extLst>
        </xdr:cNvPr>
        <xdr:cNvCxnSpPr>
          <a:stCxn id="42" idx="2"/>
        </xdr:cNvCxnSpPr>
      </xdr:nvCxnSpPr>
      <xdr:spPr>
        <a:xfrm flipH="1">
          <a:off x="14380497130" y="25899719"/>
          <a:ext cx="5525" cy="1283803"/>
        </a:xfrm>
        <a:prstGeom prst="straightConnector1">
          <a:avLst/>
        </a:prstGeom>
        <a:ln w="19050" cap="flat" cmpd="sng" algn="ctr">
          <a:solidFill>
            <a:schemeClr val="accent6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795127</xdr:colOff>
      <xdr:row>125</xdr:row>
      <xdr:rowOff>91110</xdr:rowOff>
    </xdr:from>
    <xdr:to>
      <xdr:col>4</xdr:col>
      <xdr:colOff>416888</xdr:colOff>
      <xdr:row>126</xdr:row>
      <xdr:rowOff>93868</xdr:rowOff>
    </xdr:to>
    <xdr:sp macro="" textlink="">
      <xdr:nvSpPr>
        <xdr:cNvPr id="45" name="Left Brace 44">
          <a:extLst>
            <a:ext uri="{FF2B5EF4-FFF2-40B4-BE49-F238E27FC236}">
              <a16:creationId xmlns:a16="http://schemas.microsoft.com/office/drawing/2014/main" id="{2C01D7EB-38FD-AC30-E9F0-F8F8FA79E8F8}"/>
            </a:ext>
          </a:extLst>
        </xdr:cNvPr>
        <xdr:cNvSpPr/>
      </xdr:nvSpPr>
      <xdr:spPr>
        <a:xfrm rot="16200000">
          <a:off x="14381535221" y="24886479"/>
          <a:ext cx="207063" cy="2255630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732118</xdr:colOff>
      <xdr:row>180</xdr:row>
      <xdr:rowOff>119529</xdr:rowOff>
    </xdr:from>
    <xdr:to>
      <xdr:col>5</xdr:col>
      <xdr:colOff>104589</xdr:colOff>
      <xdr:row>181</xdr:row>
      <xdr:rowOff>104588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D1C00BEA-F1DB-A903-9A1F-B9E44AD30F94}"/>
            </a:ext>
          </a:extLst>
        </xdr:cNvPr>
        <xdr:cNvCxnSpPr/>
      </xdr:nvCxnSpPr>
      <xdr:spPr>
        <a:xfrm>
          <a:off x="14316104882" y="36792647"/>
          <a:ext cx="246530" cy="1867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470648</xdr:colOff>
      <xdr:row>179</xdr:row>
      <xdr:rowOff>104588</xdr:rowOff>
    </xdr:from>
    <xdr:to>
      <xdr:col>4</xdr:col>
      <xdr:colOff>37354</xdr:colOff>
      <xdr:row>179</xdr:row>
      <xdr:rowOff>112059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19B4425D-70A0-82D7-C375-769319D992C9}"/>
            </a:ext>
          </a:extLst>
        </xdr:cNvPr>
        <xdr:cNvCxnSpPr/>
      </xdr:nvCxnSpPr>
      <xdr:spPr>
        <a:xfrm>
          <a:off x="14317046176" y="36576000"/>
          <a:ext cx="440765" cy="74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424808</xdr:colOff>
      <xdr:row>212</xdr:row>
      <xdr:rowOff>97205</xdr:rowOff>
    </xdr:from>
    <xdr:to>
      <xdr:col>6</xdr:col>
      <xdr:colOff>424808</xdr:colOff>
      <xdr:row>213</xdr:row>
      <xdr:rowOff>44251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EC76EAF6-47C0-A690-5E80-E03E186B5D1A}"/>
            </a:ext>
          </a:extLst>
        </xdr:cNvPr>
        <xdr:cNvSpPr/>
      </xdr:nvSpPr>
      <xdr:spPr>
        <a:xfrm>
          <a:off x="13552227526" y="17222292"/>
          <a:ext cx="3309965" cy="150600"/>
        </a:xfrm>
        <a:custGeom>
          <a:avLst/>
          <a:gdLst>
            <a:gd name="connsiteX0" fmla="*/ 0 w 3309965"/>
            <a:gd name="connsiteY0" fmla="*/ 128475 h 150600"/>
            <a:gd name="connsiteX1" fmla="*/ 1690383 w 3309965"/>
            <a:gd name="connsiteY1" fmla="*/ 147 h 150600"/>
            <a:gd name="connsiteX2" fmla="*/ 3309965 w 3309965"/>
            <a:gd name="connsiteY2" fmla="*/ 150600 h 150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309965" h="150600">
              <a:moveTo>
                <a:pt x="0" y="128475"/>
              </a:moveTo>
              <a:cubicBezTo>
                <a:pt x="569361" y="62467"/>
                <a:pt x="1138722" y="-3540"/>
                <a:pt x="1690383" y="147"/>
              </a:cubicBezTo>
              <a:cubicBezTo>
                <a:pt x="2242044" y="3834"/>
                <a:pt x="2776004" y="77217"/>
                <a:pt x="3309965" y="15060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442509</xdr:colOff>
      <xdr:row>215</xdr:row>
      <xdr:rowOff>30976</xdr:rowOff>
    </xdr:from>
    <xdr:to>
      <xdr:col>6</xdr:col>
      <xdr:colOff>433658</xdr:colOff>
      <xdr:row>215</xdr:row>
      <xdr:rowOff>159413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4C22301E-B0C6-596A-090A-2EFA3E3A8F3A}"/>
            </a:ext>
          </a:extLst>
        </xdr:cNvPr>
        <xdr:cNvSpPr/>
      </xdr:nvSpPr>
      <xdr:spPr>
        <a:xfrm>
          <a:off x="13552218676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354007</xdr:colOff>
      <xdr:row>215</xdr:row>
      <xdr:rowOff>30976</xdr:rowOff>
    </xdr:from>
    <xdr:to>
      <xdr:col>5</xdr:col>
      <xdr:colOff>345157</xdr:colOff>
      <xdr:row>215</xdr:row>
      <xdr:rowOff>159413</xdr:rowOff>
    </xdr:to>
    <xdr:sp macro="" textlink="">
      <xdr:nvSpPr>
        <xdr:cNvPr id="4" name="Freeform 3">
          <a:extLst>
            <a:ext uri="{FF2B5EF4-FFF2-40B4-BE49-F238E27FC236}">
              <a16:creationId xmlns:a16="http://schemas.microsoft.com/office/drawing/2014/main" id="{0F02A0F7-9387-1833-5225-4757F07AC65D}"/>
            </a:ext>
          </a:extLst>
        </xdr:cNvPr>
        <xdr:cNvSpPr/>
      </xdr:nvSpPr>
      <xdr:spPr>
        <a:xfrm>
          <a:off x="13553134669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243380</xdr:colOff>
      <xdr:row>215</xdr:row>
      <xdr:rowOff>39826</xdr:rowOff>
    </xdr:from>
    <xdr:to>
      <xdr:col>4</xdr:col>
      <xdr:colOff>234530</xdr:colOff>
      <xdr:row>215</xdr:row>
      <xdr:rowOff>168263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F204256C-6F3E-9BE1-30A8-68DA4E0B4B8E}"/>
            </a:ext>
          </a:extLst>
        </xdr:cNvPr>
        <xdr:cNvSpPr/>
      </xdr:nvSpPr>
      <xdr:spPr>
        <a:xfrm>
          <a:off x="13554072787" y="1797912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181428</xdr:colOff>
      <xdr:row>215</xdr:row>
      <xdr:rowOff>53101</xdr:rowOff>
    </xdr:from>
    <xdr:to>
      <xdr:col>3</xdr:col>
      <xdr:colOff>172578</xdr:colOff>
      <xdr:row>215</xdr:row>
      <xdr:rowOff>181538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A9FC5BEC-DE48-3EF0-3DD9-F91E57D50AED}"/>
            </a:ext>
          </a:extLst>
        </xdr:cNvPr>
        <xdr:cNvSpPr/>
      </xdr:nvSpPr>
      <xdr:spPr>
        <a:xfrm>
          <a:off x="13554962230" y="17992404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200526</xdr:colOff>
      <xdr:row>225</xdr:row>
      <xdr:rowOff>197343</xdr:rowOff>
    </xdr:from>
    <xdr:to>
      <xdr:col>4</xdr:col>
      <xdr:colOff>203709</xdr:colOff>
      <xdr:row>227</xdr:row>
      <xdr:rowOff>60476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5B88076D-46EB-F923-0909-2A98E9CE10B9}"/>
            </a:ext>
          </a:extLst>
        </xdr:cNvPr>
        <xdr:cNvCxnSpPr/>
      </xdr:nvCxnSpPr>
      <xdr:spPr>
        <a:xfrm>
          <a:off x="13503238396" y="20211779"/>
          <a:ext cx="3183" cy="27055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805288</xdr:colOff>
      <xdr:row>225</xdr:row>
      <xdr:rowOff>181428</xdr:rowOff>
    </xdr:from>
    <xdr:to>
      <xdr:col>4</xdr:col>
      <xdr:colOff>31829</xdr:colOff>
      <xdr:row>227</xdr:row>
      <xdr:rowOff>60476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F548F6-1C80-6AFD-5AAD-D4C5ECEC79E0}"/>
            </a:ext>
          </a:extLst>
        </xdr:cNvPr>
        <xdr:cNvCxnSpPr/>
      </xdr:nvCxnSpPr>
      <xdr:spPr>
        <a:xfrm>
          <a:off x="13503410276" y="20195864"/>
          <a:ext cx="50927" cy="2864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617493</xdr:colOff>
      <xdr:row>225</xdr:row>
      <xdr:rowOff>171879</xdr:rowOff>
    </xdr:from>
    <xdr:to>
      <xdr:col>3</xdr:col>
      <xdr:colOff>636591</xdr:colOff>
      <xdr:row>227</xdr:row>
      <xdr:rowOff>54110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8BF9636-1306-5015-AF26-1A6859973AC5}"/>
            </a:ext>
          </a:extLst>
        </xdr:cNvPr>
        <xdr:cNvCxnSpPr/>
      </xdr:nvCxnSpPr>
      <xdr:spPr>
        <a:xfrm flipH="1">
          <a:off x="13503629900" y="20186315"/>
          <a:ext cx="19098" cy="289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798922</xdr:colOff>
      <xdr:row>225</xdr:row>
      <xdr:rowOff>95489</xdr:rowOff>
    </xdr:from>
    <xdr:to>
      <xdr:col>7</xdr:col>
      <xdr:colOff>760726</xdr:colOff>
      <xdr:row>227</xdr:row>
      <xdr:rowOff>3183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1823737D-3016-EB29-0197-76001B41FA94}"/>
            </a:ext>
          </a:extLst>
        </xdr:cNvPr>
        <xdr:cNvSpPr/>
      </xdr:nvSpPr>
      <xdr:spPr>
        <a:xfrm>
          <a:off x="13500208221" y="20109925"/>
          <a:ext cx="1610576" cy="31511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152782</xdr:colOff>
      <xdr:row>225</xdr:row>
      <xdr:rowOff>111404</xdr:rowOff>
    </xdr:from>
    <xdr:to>
      <xdr:col>7</xdr:col>
      <xdr:colOff>241904</xdr:colOff>
      <xdr:row>226</xdr:row>
      <xdr:rowOff>95489</xdr:rowOff>
    </xdr:to>
    <xdr:sp macro="" textlink="">
      <xdr:nvSpPr>
        <xdr:cNvPr id="14" name="Triangle 13">
          <a:extLst>
            <a:ext uri="{FF2B5EF4-FFF2-40B4-BE49-F238E27FC236}">
              <a16:creationId xmlns:a16="http://schemas.microsoft.com/office/drawing/2014/main" id="{C684FB01-E144-C308-3B16-E78BD843B733}"/>
            </a:ext>
          </a:extLst>
        </xdr:cNvPr>
        <xdr:cNvSpPr/>
      </xdr:nvSpPr>
      <xdr:spPr>
        <a:xfrm rot="10800000">
          <a:off x="13500727043" y="20125840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779825</xdr:colOff>
      <xdr:row>225</xdr:row>
      <xdr:rowOff>95489</xdr:rowOff>
    </xdr:from>
    <xdr:to>
      <xdr:col>7</xdr:col>
      <xdr:colOff>44561</xdr:colOff>
      <xdr:row>226</xdr:row>
      <xdr:rowOff>79574</xdr:rowOff>
    </xdr:to>
    <xdr:sp macro="" textlink="">
      <xdr:nvSpPr>
        <xdr:cNvPr id="15" name="Triangle 14">
          <a:extLst>
            <a:ext uri="{FF2B5EF4-FFF2-40B4-BE49-F238E27FC236}">
              <a16:creationId xmlns:a16="http://schemas.microsoft.com/office/drawing/2014/main" id="{3B5B2A43-A2F1-423E-685F-881C3FDF2980}"/>
            </a:ext>
          </a:extLst>
        </xdr:cNvPr>
        <xdr:cNvSpPr/>
      </xdr:nvSpPr>
      <xdr:spPr>
        <a:xfrm rot="10800000">
          <a:off x="13500924386" y="20109925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566567</xdr:colOff>
      <xdr:row>225</xdr:row>
      <xdr:rowOff>105038</xdr:rowOff>
    </xdr:from>
    <xdr:to>
      <xdr:col>6</xdr:col>
      <xdr:colOff>655689</xdr:colOff>
      <xdr:row>226</xdr:row>
      <xdr:rowOff>89123</xdr:rowOff>
    </xdr:to>
    <xdr:sp macro="" textlink="">
      <xdr:nvSpPr>
        <xdr:cNvPr id="16" name="Triangle 15">
          <a:extLst>
            <a:ext uri="{FF2B5EF4-FFF2-40B4-BE49-F238E27FC236}">
              <a16:creationId xmlns:a16="http://schemas.microsoft.com/office/drawing/2014/main" id="{E057C14D-DD5E-FD6F-32F9-03EC7A4D9378}"/>
            </a:ext>
          </a:extLst>
        </xdr:cNvPr>
        <xdr:cNvSpPr/>
      </xdr:nvSpPr>
      <xdr:spPr>
        <a:xfrm rot="10800000">
          <a:off x="13501137644" y="20119474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735263</xdr:colOff>
      <xdr:row>227</xdr:row>
      <xdr:rowOff>60476</xdr:rowOff>
    </xdr:from>
    <xdr:to>
      <xdr:col>7</xdr:col>
      <xdr:colOff>57293</xdr:colOff>
      <xdr:row>228</xdr:row>
      <xdr:rowOff>70025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4A205BAF-B0AE-CA27-E59F-B22626F32066}"/>
            </a:ext>
          </a:extLst>
        </xdr:cNvPr>
        <xdr:cNvSpPr/>
      </xdr:nvSpPr>
      <xdr:spPr>
        <a:xfrm>
          <a:off x="13500911654" y="20482331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502907</xdr:colOff>
      <xdr:row>229</xdr:row>
      <xdr:rowOff>184612</xdr:rowOff>
    </xdr:from>
    <xdr:to>
      <xdr:col>7</xdr:col>
      <xdr:colOff>649323</xdr:colOff>
      <xdr:row>230</xdr:row>
      <xdr:rowOff>194161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F302414-AD00-0B3E-13CB-CA224B895CCF}"/>
            </a:ext>
          </a:extLst>
        </xdr:cNvPr>
        <xdr:cNvSpPr/>
      </xdr:nvSpPr>
      <xdr:spPr>
        <a:xfrm>
          <a:off x="13500319624" y="21013885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140268</xdr:colOff>
      <xdr:row>12</xdr:row>
      <xdr:rowOff>132687</xdr:rowOff>
    </xdr:from>
    <xdr:to>
      <xdr:col>7</xdr:col>
      <xdr:colOff>511791</xdr:colOff>
      <xdr:row>12</xdr:row>
      <xdr:rowOff>140269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62F4A216-8BBA-6FDA-BE51-8F5D50A08840}"/>
            </a:ext>
          </a:extLst>
        </xdr:cNvPr>
        <xdr:cNvCxnSpPr/>
      </xdr:nvCxnSpPr>
      <xdr:spPr>
        <a:xfrm flipV="1">
          <a:off x="13534223194" y="2612030"/>
          <a:ext cx="6156657" cy="758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272955</xdr:colOff>
      <xdr:row>12</xdr:row>
      <xdr:rowOff>90985</xdr:rowOff>
    </xdr:from>
    <xdr:to>
      <xdr:col>5</xdr:col>
      <xdr:colOff>398059</xdr:colOff>
      <xdr:row>13</xdr:row>
      <xdr:rowOff>117522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32B0EBDC-BE61-3DB6-47D3-8F3A62552BF0}"/>
            </a:ext>
          </a:extLst>
        </xdr:cNvPr>
        <xdr:cNvSpPr/>
      </xdr:nvSpPr>
      <xdr:spPr>
        <a:xfrm rot="16200000">
          <a:off x="13536349970" y="2210179"/>
          <a:ext cx="231254" cy="95155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56867</xdr:colOff>
      <xdr:row>13</xdr:row>
      <xdr:rowOff>155053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37912</xdr:colOff>
      <xdr:row>14</xdr:row>
      <xdr:rowOff>204337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49285</xdr:colOff>
      <xdr:row>16</xdr:row>
      <xdr:rowOff>33740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333612</xdr:colOff>
      <xdr:row>12</xdr:row>
      <xdr:rowOff>90985</xdr:rowOff>
    </xdr:from>
    <xdr:to>
      <xdr:col>3</xdr:col>
      <xdr:colOff>390478</xdr:colOff>
      <xdr:row>13</xdr:row>
      <xdr:rowOff>94776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A1E87E06-F4DE-3D53-CEA7-966A8EC0BC5A}"/>
            </a:ext>
          </a:extLst>
        </xdr:cNvPr>
        <xdr:cNvSpPr/>
      </xdr:nvSpPr>
      <xdr:spPr>
        <a:xfrm rot="16200000">
          <a:off x="13538400925" y="1819701"/>
          <a:ext cx="208508" cy="1709761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519375</xdr:colOff>
      <xdr:row>13</xdr:row>
      <xdr:rowOff>120934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485255</xdr:colOff>
      <xdr:row>14</xdr:row>
      <xdr:rowOff>185382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451136</xdr:colOff>
      <xdr:row>16</xdr:row>
      <xdr:rowOff>29949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𝑛𝑝𝑒𝑟=24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363940</xdr:colOff>
      <xdr:row>13</xdr:row>
      <xdr:rowOff>79612</xdr:rowOff>
    </xdr:from>
    <xdr:to>
      <xdr:col>3</xdr:col>
      <xdr:colOff>375313</xdr:colOff>
      <xdr:row>20</xdr:row>
      <xdr:rowOff>15164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0B0EE31-469E-38A0-CCBF-0B6AE7D9CFA3}"/>
            </a:ext>
          </a:extLst>
        </xdr:cNvPr>
        <xdr:cNvCxnSpPr/>
      </xdr:nvCxnSpPr>
      <xdr:spPr>
        <a:xfrm>
          <a:off x="13537665463" y="2763672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367731</xdr:colOff>
      <xdr:row>20</xdr:row>
      <xdr:rowOff>3791</xdr:rowOff>
    </xdr:from>
    <xdr:to>
      <xdr:col>4</xdr:col>
      <xdr:colOff>257791</xdr:colOff>
      <xdr:row>20</xdr:row>
      <xdr:rowOff>7582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6A23382C-630C-0A35-65F4-BBCD489F166C}"/>
            </a:ext>
          </a:extLst>
        </xdr:cNvPr>
        <xdr:cNvCxnSpPr/>
      </xdr:nvCxnSpPr>
      <xdr:spPr>
        <a:xfrm flipH="1" flipV="1">
          <a:off x="13536956537" y="4120866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246418</xdr:colOff>
      <xdr:row>13</xdr:row>
      <xdr:rowOff>197134</xdr:rowOff>
    </xdr:from>
    <xdr:to>
      <xdr:col>4</xdr:col>
      <xdr:colOff>261582</xdr:colOff>
      <xdr:row>20</xdr:row>
      <xdr:rowOff>0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1FF04F83-0D76-213B-0B43-5F577286F634}"/>
            </a:ext>
          </a:extLst>
        </xdr:cNvPr>
        <xdr:cNvCxnSpPr/>
      </xdr:nvCxnSpPr>
      <xdr:spPr>
        <a:xfrm flipH="1" flipV="1">
          <a:off x="13536952746" y="2881194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3792</xdr:colOff>
      <xdr:row>20</xdr:row>
      <xdr:rowOff>75442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𝑃𝑉_1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344986</xdr:colOff>
      <xdr:row>13</xdr:row>
      <xdr:rowOff>18577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𝐹𝑉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𝐹𝑉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386686</xdr:colOff>
      <xdr:row>13</xdr:row>
      <xdr:rowOff>98567</xdr:rowOff>
    </xdr:from>
    <xdr:to>
      <xdr:col>5</xdr:col>
      <xdr:colOff>398059</xdr:colOff>
      <xdr:row>20</xdr:row>
      <xdr:rowOff>34119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3B3E4BCB-3BB5-576E-20EA-E9105FB6DC1D}"/>
            </a:ext>
          </a:extLst>
        </xdr:cNvPr>
        <xdr:cNvCxnSpPr/>
      </xdr:nvCxnSpPr>
      <xdr:spPr>
        <a:xfrm>
          <a:off x="13535989821" y="2782627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371521</xdr:colOff>
      <xdr:row>20</xdr:row>
      <xdr:rowOff>18955</xdr:rowOff>
    </xdr:from>
    <xdr:to>
      <xdr:col>6</xdr:col>
      <xdr:colOff>261581</xdr:colOff>
      <xdr:row>20</xdr:row>
      <xdr:rowOff>22746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470F2B-6467-5D6B-53C2-4CED32B3EC11}"/>
            </a:ext>
          </a:extLst>
        </xdr:cNvPr>
        <xdr:cNvCxnSpPr/>
      </xdr:nvCxnSpPr>
      <xdr:spPr>
        <a:xfrm flipH="1" flipV="1">
          <a:off x="13535299851" y="4136030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265372</xdr:colOff>
      <xdr:row>14</xdr:row>
      <xdr:rowOff>18955</xdr:rowOff>
    </xdr:from>
    <xdr:to>
      <xdr:col>6</xdr:col>
      <xdr:colOff>280536</xdr:colOff>
      <xdr:row>20</xdr:row>
      <xdr:rowOff>26537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7EA97046-0C96-6ECE-4C4A-6E7071C6DCCB}"/>
            </a:ext>
          </a:extLst>
        </xdr:cNvPr>
        <xdr:cNvCxnSpPr/>
      </xdr:nvCxnSpPr>
      <xdr:spPr>
        <a:xfrm flipH="1" flipV="1">
          <a:off x="13535280896" y="2907731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3792</xdr:colOff>
      <xdr:row>20</xdr:row>
      <xdr:rowOff>67859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𝑃𝑉_2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671015</xdr:colOff>
      <xdr:row>27</xdr:row>
      <xdr:rowOff>170597</xdr:rowOff>
    </xdr:from>
    <xdr:to>
      <xdr:col>5</xdr:col>
      <xdr:colOff>113731</xdr:colOff>
      <xdr:row>28</xdr:row>
      <xdr:rowOff>140269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5EDE386B-3793-8384-8BC9-AB0343A8A941}"/>
            </a:ext>
          </a:extLst>
        </xdr:cNvPr>
        <xdr:cNvCxnSpPr/>
      </xdr:nvCxnSpPr>
      <xdr:spPr>
        <a:xfrm>
          <a:off x="13536274149" y="5720687"/>
          <a:ext cx="269164" cy="174388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487950</xdr:colOff>
      <xdr:row>99</xdr:row>
      <xdr:rowOff>44114</xdr:rowOff>
    </xdr:from>
    <xdr:ext cx="1452931" cy="33861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4AA4C1AB-6B38-611E-60A2-949E14245917}"/>
                </a:ext>
              </a:extLst>
            </xdr:cNvPr>
            <xdr:cNvSpPr txBox="1"/>
          </xdr:nvSpPr>
          <xdr:spPr>
            <a:xfrm>
              <a:off x="13572835119" y="19949693"/>
              <a:ext cx="1452931" cy="33861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p>
                          <m:sSup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1.02</m:t>
                            </m:r>
                          </m:e>
                          <m:sup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sup>
                        </m:sSup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4AA4C1AB-6B38-611E-60A2-949E14245917}"/>
                </a:ext>
              </a:extLst>
            </xdr:cNvPr>
            <xdr:cNvSpPr txBox="1"/>
          </xdr:nvSpPr>
          <xdr:spPr>
            <a:xfrm>
              <a:off x="13572835119" y="19949693"/>
              <a:ext cx="1452931" cy="33861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〖1.02〗^12/1−1=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822159</xdr:colOff>
      <xdr:row>101</xdr:row>
      <xdr:rowOff>151061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04C48A27-10FB-92A4-9B10-B78B2E56281A}"/>
                </a:ext>
              </a:extLst>
            </xdr:cNvPr>
            <xdr:cNvSpPr txBox="1"/>
          </xdr:nvSpPr>
          <xdr:spPr>
            <a:xfrm>
              <a:off x="13573931331" y="20457693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04C48A27-10FB-92A4-9B10-B78B2E56281A}"/>
                </a:ext>
              </a:extLst>
            </xdr:cNvPr>
            <xdr:cNvSpPr txBox="1"/>
          </xdr:nvSpPr>
          <xdr:spPr>
            <a:xfrm>
              <a:off x="13573931331" y="20457693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508001</xdr:colOff>
      <xdr:row>112</xdr:row>
      <xdr:rowOff>64167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DEA3319-20F4-19BE-BDF2-8C546BD0A1F5}"/>
                </a:ext>
              </a:extLst>
            </xdr:cNvPr>
            <xdr:cNvSpPr txBox="1"/>
          </xdr:nvSpPr>
          <xdr:spPr>
            <a:xfrm>
              <a:off x="13574245489" y="22576588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DEA3319-20F4-19BE-BDF2-8C546BD0A1F5}"/>
                </a:ext>
              </a:extLst>
            </xdr:cNvPr>
            <xdr:cNvSpPr txBox="1"/>
          </xdr:nvSpPr>
          <xdr:spPr>
            <a:xfrm>
              <a:off x="13574245489" y="22576588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338668</xdr:colOff>
      <xdr:row>115</xdr:row>
      <xdr:rowOff>136739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AE5CEEE-27CD-7458-96CC-E24AC6EBDD95}"/>
                </a:ext>
              </a:extLst>
            </xdr:cNvPr>
            <xdr:cNvSpPr txBox="1"/>
          </xdr:nvSpPr>
          <xdr:spPr>
            <a:xfrm>
              <a:off x="13569201137" y="23831310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6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AE5CEEE-27CD-7458-96CC-E24AC6EBDD95}"/>
                </a:ext>
              </a:extLst>
            </xdr:cNvPr>
            <xdr:cNvSpPr txBox="1"/>
          </xdr:nvSpPr>
          <xdr:spPr>
            <a:xfrm>
              <a:off x="13569201137" y="23831310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326573</xdr:colOff>
      <xdr:row>119</xdr:row>
      <xdr:rowOff>46023</xdr:rowOff>
    </xdr:from>
    <xdr:ext cx="1680195" cy="35503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89C9F9B-7924-25E6-7472-B6FD95984675}"/>
                </a:ext>
              </a:extLst>
            </xdr:cNvPr>
            <xdr:cNvSpPr txBox="1"/>
          </xdr:nvSpPr>
          <xdr:spPr>
            <a:xfrm>
              <a:off x="13569213232" y="24563071"/>
              <a:ext cx="1680195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3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89C9F9B-7924-25E6-7472-B6FD95984675}"/>
                </a:ext>
              </a:extLst>
            </xdr:cNvPr>
            <xdr:cNvSpPr txBox="1"/>
          </xdr:nvSpPr>
          <xdr:spPr>
            <a:xfrm>
              <a:off x="13569213232" y="24563071"/>
              <a:ext cx="1680195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241907</xdr:colOff>
      <xdr:row>125</xdr:row>
      <xdr:rowOff>173024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C5730EA-C068-51D7-3244-0894BAC8E21A}"/>
                </a:ext>
              </a:extLst>
            </xdr:cNvPr>
            <xdr:cNvSpPr txBox="1"/>
          </xdr:nvSpPr>
          <xdr:spPr>
            <a:xfrm>
              <a:off x="13569297898" y="25923786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8%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C5730EA-C068-51D7-3244-0894BAC8E21A}"/>
                </a:ext>
              </a:extLst>
            </xdr:cNvPr>
            <xdr:cNvSpPr txBox="1"/>
          </xdr:nvSpPr>
          <xdr:spPr>
            <a:xfrm>
              <a:off x="13569297898" y="25923786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8%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181431</xdr:colOff>
      <xdr:row>130</xdr:row>
      <xdr:rowOff>118595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172BE98C-B52D-896B-C373-9D1E807703E4}"/>
                </a:ext>
              </a:extLst>
            </xdr:cNvPr>
            <xdr:cNvSpPr txBox="1"/>
          </xdr:nvSpPr>
          <xdr:spPr>
            <a:xfrm>
              <a:off x="13569358374" y="26897452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6%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172BE98C-B52D-896B-C373-9D1E807703E4}"/>
                </a:ext>
              </a:extLst>
            </xdr:cNvPr>
            <xdr:cNvSpPr txBox="1"/>
          </xdr:nvSpPr>
          <xdr:spPr>
            <a:xfrm>
              <a:off x="13569358374" y="26897452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6%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0</xdr:colOff>
      <xdr:row>144</xdr:row>
      <xdr:rowOff>0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9C61-DBC8-174C-A15B-6F668C09A638}"/>
                </a:ext>
              </a:extLst>
            </xdr:cNvPr>
            <xdr:cNvSpPr txBox="1"/>
          </xdr:nvSpPr>
          <xdr:spPr>
            <a:xfrm>
              <a:off x="13569539805" y="29657524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9C61-DBC8-174C-A15B-6F668C09A638}"/>
                </a:ext>
              </a:extLst>
            </xdr:cNvPr>
            <xdr:cNvSpPr txBox="1"/>
          </xdr:nvSpPr>
          <xdr:spPr>
            <a:xfrm>
              <a:off x="13569539805" y="29657524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520095</xdr:colOff>
      <xdr:row>143</xdr:row>
      <xdr:rowOff>193523</xdr:rowOff>
    </xdr:from>
    <xdr:ext cx="2218433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972F661-17FD-69B8-FD92-76B0FDBE61BA}"/>
                </a:ext>
              </a:extLst>
            </xdr:cNvPr>
            <xdr:cNvSpPr txBox="1"/>
          </xdr:nvSpPr>
          <xdr:spPr>
            <a:xfrm>
              <a:off x="13571795567" y="29645428"/>
              <a:ext cx="2218433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𝑚𝑜𝑛𝑡h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3%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6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972F661-17FD-69B8-FD92-76B0FDBE61BA}"/>
                </a:ext>
              </a:extLst>
            </xdr:cNvPr>
            <xdr:cNvSpPr txBox="1"/>
          </xdr:nvSpPr>
          <xdr:spPr>
            <a:xfrm>
              <a:off x="13571795567" y="29645428"/>
              <a:ext cx="2218433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𝑚𝑜𝑛𝑡ℎ)=(1+(3%)/6)^1−1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13369</xdr:colOff>
      <xdr:row>170</xdr:row>
      <xdr:rowOff>151062</xdr:rowOff>
    </xdr:from>
    <xdr:ext cx="1994353" cy="43011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E0A0DFF4-1EEB-B483-93EA-62A58A51E3FD}"/>
                </a:ext>
              </a:extLst>
            </xdr:cNvPr>
            <xdr:cNvSpPr txBox="1"/>
          </xdr:nvSpPr>
          <xdr:spPr>
            <a:xfrm>
              <a:off x="13574425963" y="34294009"/>
              <a:ext cx="1994353" cy="4301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𝑀𝑜𝑛𝑡h𝑠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den>
                            </m:f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6</m:t>
                            </m:r>
                          </m:den>
                        </m:f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E0A0DFF4-1EEB-B483-93EA-62A58A51E3FD}"/>
                </a:ext>
              </a:extLst>
            </xdr:cNvPr>
            <xdr:cNvSpPr txBox="1"/>
          </xdr:nvSpPr>
          <xdr:spPr>
            <a:xfrm>
              <a:off x="13574425963" y="34294009"/>
              <a:ext cx="1994353" cy="4301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 𝑀𝑜𝑛𝑡ℎ𝑠)=(1+(12%)/2</a:t>
              </a:r>
              <a:r>
                <a:rPr lang="he-IL" sz="1100" b="0" i="0">
                  <a:latin typeface="Cambria Math" panose="02040503050406030204" pitchFamily="18" charset="0"/>
                </a:rPr>
                <a:t>)^(2/6)−1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635000</xdr:colOff>
      <xdr:row>181</xdr:row>
      <xdr:rowOff>153736</xdr:rowOff>
    </xdr:from>
    <xdr:to>
      <xdr:col>3</xdr:col>
      <xdr:colOff>173790</xdr:colOff>
      <xdr:row>183</xdr:row>
      <xdr:rowOff>26737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F6F9BA2E-E5EF-B1FB-248A-21494019B90E}"/>
            </a:ext>
          </a:extLst>
        </xdr:cNvPr>
        <xdr:cNvCxnSpPr/>
      </xdr:nvCxnSpPr>
      <xdr:spPr>
        <a:xfrm>
          <a:off x="13577088737" y="36502473"/>
          <a:ext cx="367632" cy="27405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675106</xdr:colOff>
      <xdr:row>182</xdr:row>
      <xdr:rowOff>13369</xdr:rowOff>
    </xdr:from>
    <xdr:to>
      <xdr:col>4</xdr:col>
      <xdr:colOff>173790</xdr:colOff>
      <xdr:row>183</xdr:row>
      <xdr:rowOff>60158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B25E1F20-5374-46F1-2E06-37DB7AA1DF76}"/>
            </a:ext>
          </a:extLst>
        </xdr:cNvPr>
        <xdr:cNvCxnSpPr/>
      </xdr:nvCxnSpPr>
      <xdr:spPr>
        <a:xfrm flipH="1">
          <a:off x="13576259895" y="36562632"/>
          <a:ext cx="327526" cy="2473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619952</xdr:colOff>
      <xdr:row>409</xdr:row>
      <xdr:rowOff>126398</xdr:rowOff>
    </xdr:from>
    <xdr:to>
      <xdr:col>3</xdr:col>
      <xdr:colOff>722275</xdr:colOff>
      <xdr:row>411</xdr:row>
      <xdr:rowOff>60189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0F1F5EC3-34D6-0E81-D92A-BB1E109EC8B8}"/>
            </a:ext>
          </a:extLst>
        </xdr:cNvPr>
        <xdr:cNvSpPr/>
      </xdr:nvSpPr>
      <xdr:spPr>
        <a:xfrm>
          <a:off x="13507003744" y="12152275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90284</xdr:colOff>
      <xdr:row>412</xdr:row>
      <xdr:rowOff>6020</xdr:rowOff>
    </xdr:from>
    <xdr:to>
      <xdr:col>6</xdr:col>
      <xdr:colOff>192607</xdr:colOff>
      <xdr:row>413</xdr:row>
      <xdr:rowOff>144455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722671FA-8A17-48E7-C88A-DA8C42A291F2}"/>
            </a:ext>
          </a:extLst>
        </xdr:cNvPr>
        <xdr:cNvSpPr/>
      </xdr:nvSpPr>
      <xdr:spPr>
        <a:xfrm rot="10800000">
          <a:off x="13505059620" y="12645830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5101</xdr:colOff>
      <xdr:row>502</xdr:row>
      <xdr:rowOff>91807</xdr:rowOff>
    </xdr:from>
    <xdr:to>
      <xdr:col>6</xdr:col>
      <xdr:colOff>10201</xdr:colOff>
      <xdr:row>502</xdr:row>
      <xdr:rowOff>96907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5C72661-60F4-4369-8811-D4C4DD92B982}"/>
            </a:ext>
          </a:extLst>
        </xdr:cNvPr>
        <xdr:cNvCxnSpPr/>
      </xdr:nvCxnSpPr>
      <xdr:spPr>
        <a:xfrm>
          <a:off x="13532558956" y="30735020"/>
          <a:ext cx="831365" cy="51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26572</xdr:colOff>
      <xdr:row>481</xdr:row>
      <xdr:rowOff>186954</xdr:rowOff>
    </xdr:from>
    <xdr:to>
      <xdr:col>9</xdr:col>
      <xdr:colOff>39518</xdr:colOff>
      <xdr:row>486</xdr:row>
      <xdr:rowOff>9218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DB56CA-AA5E-5DBF-E007-23BE2B74D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244746" y="67416370"/>
          <a:ext cx="838124" cy="773153"/>
        </a:xfrm>
        <a:prstGeom prst="rect">
          <a:avLst/>
        </a:prstGeom>
      </xdr:spPr>
    </xdr:pic>
    <xdr:clientData/>
  </xdr:twoCellAnchor>
  <xdr:twoCellAnchor>
    <xdr:from>
      <xdr:col>1</xdr:col>
      <xdr:colOff>41234</xdr:colOff>
      <xdr:row>522</xdr:row>
      <xdr:rowOff>61851</xdr:rowOff>
    </xdr:from>
    <xdr:to>
      <xdr:col>6</xdr:col>
      <xdr:colOff>655616</xdr:colOff>
      <xdr:row>522</xdr:row>
      <xdr:rowOff>74221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74AA5878-3A45-A95D-D6AF-E202216DA966}"/>
            </a:ext>
          </a:extLst>
        </xdr:cNvPr>
        <xdr:cNvCxnSpPr/>
      </xdr:nvCxnSpPr>
      <xdr:spPr>
        <a:xfrm>
          <a:off x="13505876851" y="74752695"/>
          <a:ext cx="4737759" cy="123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477921</xdr:colOff>
      <xdr:row>640</xdr:row>
      <xdr:rowOff>86895</xdr:rowOff>
    </xdr:from>
    <xdr:to>
      <xdr:col>7</xdr:col>
      <xdr:colOff>267368</xdr:colOff>
      <xdr:row>640</xdr:row>
      <xdr:rowOff>90237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527E9FF-914C-7C4A-DA17-5E6AAF02D875}"/>
            </a:ext>
          </a:extLst>
        </xdr:cNvPr>
        <xdr:cNvCxnSpPr/>
      </xdr:nvCxnSpPr>
      <xdr:spPr>
        <a:xfrm>
          <a:off x="13518946132" y="98164316"/>
          <a:ext cx="5567947" cy="334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737973</xdr:colOff>
      <xdr:row>55</xdr:row>
      <xdr:rowOff>175054</xdr:rowOff>
    </xdr:from>
    <xdr:to>
      <xdr:col>7</xdr:col>
      <xdr:colOff>120134</xdr:colOff>
      <xdr:row>56</xdr:row>
      <xdr:rowOff>164757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D954ED1-3E62-0D46-B007-234AE6ED6B94}"/>
            </a:ext>
          </a:extLst>
        </xdr:cNvPr>
        <xdr:cNvCxnSpPr/>
      </xdr:nvCxnSpPr>
      <xdr:spPr>
        <a:xfrm flipH="1">
          <a:off x="13519093366" y="42288254"/>
          <a:ext cx="207661" cy="19290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463378</xdr:colOff>
      <xdr:row>55</xdr:row>
      <xdr:rowOff>185351</xdr:rowOff>
    </xdr:from>
    <xdr:to>
      <xdr:col>6</xdr:col>
      <xdr:colOff>490838</xdr:colOff>
      <xdr:row>57</xdr:row>
      <xdr:rowOff>41189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80DCE90A-8F42-6540-B7D4-91611EE77F35}"/>
            </a:ext>
          </a:extLst>
        </xdr:cNvPr>
        <xdr:cNvCxnSpPr/>
      </xdr:nvCxnSpPr>
      <xdr:spPr>
        <a:xfrm flipH="1">
          <a:off x="13519548162" y="42298551"/>
          <a:ext cx="27460" cy="26223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652162</xdr:colOff>
      <xdr:row>55</xdr:row>
      <xdr:rowOff>175053</xdr:rowOff>
    </xdr:from>
    <xdr:to>
      <xdr:col>6</xdr:col>
      <xdr:colOff>312351</xdr:colOff>
      <xdr:row>57</xdr:row>
      <xdr:rowOff>20594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431F49A-B772-F641-9DC7-A3513393D1A3}"/>
            </a:ext>
          </a:extLst>
        </xdr:cNvPr>
        <xdr:cNvCxnSpPr/>
      </xdr:nvCxnSpPr>
      <xdr:spPr>
        <a:xfrm>
          <a:off x="13519726649" y="42288253"/>
          <a:ext cx="485689" cy="25194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134956</xdr:colOff>
      <xdr:row>70</xdr:row>
      <xdr:rowOff>15280</xdr:rowOff>
    </xdr:from>
    <xdr:to>
      <xdr:col>4</xdr:col>
      <xdr:colOff>376861</xdr:colOff>
      <xdr:row>71</xdr:row>
      <xdr:rowOff>18463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BA4431A9-96F0-5B41-BAD6-F900576F36C5}"/>
            </a:ext>
          </a:extLst>
        </xdr:cNvPr>
        <xdr:cNvCxnSpPr/>
      </xdr:nvCxnSpPr>
      <xdr:spPr>
        <a:xfrm flipH="1">
          <a:off x="13576056824" y="14012017"/>
          <a:ext cx="241905" cy="2037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828842</xdr:colOff>
      <xdr:row>67</xdr:row>
      <xdr:rowOff>46789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1041226C-0A2D-8F43-9971-EA57F846ECDE}"/>
                </a:ext>
              </a:extLst>
            </xdr:cNvPr>
            <xdr:cNvSpPr txBox="1"/>
          </xdr:nvSpPr>
          <xdr:spPr>
            <a:xfrm>
              <a:off x="13574753490" y="13441947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1041226C-0A2D-8F43-9971-EA57F846ECDE}"/>
                </a:ext>
              </a:extLst>
            </xdr:cNvPr>
            <xdr:cNvSpPr txBox="1"/>
          </xdr:nvSpPr>
          <xdr:spPr>
            <a:xfrm>
              <a:off x="13574753490" y="13441947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434473</xdr:colOff>
      <xdr:row>67</xdr:row>
      <xdr:rowOff>100262</xdr:rowOff>
    </xdr:from>
    <xdr:ext cx="2245895" cy="3222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542C4B61-8973-9849-0069-8FBD32EA6061}"/>
                </a:ext>
              </a:extLst>
            </xdr:cNvPr>
            <xdr:cNvSpPr txBox="1"/>
          </xdr:nvSpPr>
          <xdr:spPr>
            <a:xfrm>
              <a:off x="13572095632" y="13495420"/>
              <a:ext cx="2245895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19.5618%=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542C4B61-8973-9849-0069-8FBD32EA6061}"/>
                </a:ext>
              </a:extLst>
            </xdr:cNvPr>
            <xdr:cNvSpPr txBox="1"/>
          </xdr:nvSpPr>
          <xdr:spPr>
            <a:xfrm>
              <a:off x="13572095632" y="13495420"/>
              <a:ext cx="2245895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19.5618%=(1+𝑥/12)^12−1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688476</xdr:colOff>
      <xdr:row>84</xdr:row>
      <xdr:rowOff>27406</xdr:rowOff>
    </xdr:from>
    <xdr:ext cx="24421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DC2BF82-C99A-2474-D213-733679052530}"/>
                </a:ext>
              </a:extLst>
            </xdr:cNvPr>
            <xdr:cNvSpPr txBox="1"/>
          </xdr:nvSpPr>
          <xdr:spPr>
            <a:xfrm>
              <a:off x="13574131856" y="16858248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DC2BF82-C99A-2474-D213-733679052530}"/>
                </a:ext>
              </a:extLst>
            </xdr:cNvPr>
            <xdr:cNvSpPr txBox="1"/>
          </xdr:nvSpPr>
          <xdr:spPr>
            <a:xfrm>
              <a:off x="13574131856" y="16858248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688476</xdr:colOff>
      <xdr:row>85</xdr:row>
      <xdr:rowOff>181143</xdr:rowOff>
    </xdr:from>
    <xdr:ext cx="2442195" cy="26071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26C2F338-F992-1B3F-9335-A7D76C1F78C1}"/>
                </a:ext>
              </a:extLst>
            </xdr:cNvPr>
            <xdr:cNvSpPr txBox="1"/>
          </xdr:nvSpPr>
          <xdr:spPr>
            <a:xfrm>
              <a:off x="13574131856" y="17212511"/>
              <a:ext cx="2442195" cy="26071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𝑚𝑜𝑛𝑡h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19.5618%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26C2F338-F992-1B3F-9335-A7D76C1F78C1}"/>
                </a:ext>
              </a:extLst>
            </xdr:cNvPr>
            <xdr:cNvSpPr txBox="1"/>
          </xdr:nvSpPr>
          <xdr:spPr>
            <a:xfrm>
              <a:off x="13574131856" y="17212511"/>
              <a:ext cx="2442195" cy="26071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𝑚𝑜𝑛𝑡ℎ)=(1+</a:t>
              </a:r>
              <a:r>
                <a:rPr lang="he-IL" sz="1100" b="0" i="0">
                  <a:latin typeface="Cambria Math" panose="02040503050406030204" pitchFamily="18" charset="0"/>
                </a:rPr>
                <a:t>19.5618%</a:t>
              </a:r>
              <a:r>
                <a:rPr lang="en-US" sz="1100" b="0" i="0">
                  <a:latin typeface="Cambria Math" panose="02040503050406030204" pitchFamily="18" charset="0"/>
                </a:rPr>
                <a:t>)^(1/12)−1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681791</xdr:colOff>
      <xdr:row>88</xdr:row>
      <xdr:rowOff>47459</xdr:rowOff>
    </xdr:from>
    <xdr:ext cx="24421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1511D02E-A710-9C3D-9BC2-494C3126FD5D}"/>
                </a:ext>
              </a:extLst>
            </xdr:cNvPr>
            <xdr:cNvSpPr txBox="1"/>
          </xdr:nvSpPr>
          <xdr:spPr>
            <a:xfrm>
              <a:off x="13574138541" y="17680406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=1.5%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1511D02E-A710-9C3D-9BC2-494C3126FD5D}"/>
                </a:ext>
              </a:extLst>
            </xdr:cNvPr>
            <xdr:cNvSpPr txBox="1"/>
          </xdr:nvSpPr>
          <xdr:spPr>
            <a:xfrm>
              <a:off x="13574138541" y="17680406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𝑚𝑜𝑛𝑡ℎ)=1.5%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762000</xdr:colOff>
      <xdr:row>100</xdr:row>
      <xdr:rowOff>117186</xdr:rowOff>
    </xdr:from>
    <xdr:ext cx="2582259" cy="35503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9D40E3-AF06-3A74-5722-FD799329D845}"/>
                </a:ext>
              </a:extLst>
            </xdr:cNvPr>
            <xdr:cNvSpPr txBox="1"/>
          </xdr:nvSpPr>
          <xdr:spPr>
            <a:xfrm>
              <a:off x="13518345741" y="20275550"/>
              <a:ext cx="2582259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6%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9D40E3-AF06-3A74-5722-FD799329D845}"/>
                </a:ext>
              </a:extLst>
            </xdr:cNvPr>
            <xdr:cNvSpPr txBox="1"/>
          </xdr:nvSpPr>
          <xdr:spPr>
            <a:xfrm>
              <a:off x="13518345741" y="20275550"/>
              <a:ext cx="2582259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𝑟_𝑒=(1+𝑅/𝑛)^𝑚−1=(1+(6%)/12)^6−1=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675409</xdr:colOff>
      <xdr:row>103</xdr:row>
      <xdr:rowOff>30595</xdr:rowOff>
    </xdr:from>
    <xdr:ext cx="263421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98F337CF-DF6D-0DEB-FD5E-A4AC782C1930}"/>
                </a:ext>
              </a:extLst>
            </xdr:cNvPr>
            <xdr:cNvSpPr txBox="1"/>
          </xdr:nvSpPr>
          <xdr:spPr>
            <a:xfrm>
              <a:off x="13518380378" y="20795095"/>
              <a:ext cx="263421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1+3.5%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98F337CF-DF6D-0DEB-FD5E-A4AC782C1930}"/>
                </a:ext>
              </a:extLst>
            </xdr:cNvPr>
            <xdr:cNvSpPr txBox="1"/>
          </xdr:nvSpPr>
          <xdr:spPr>
            <a:xfrm>
              <a:off x="13518380378" y="20795095"/>
              <a:ext cx="263421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𝑟_𝑒=(1+𝑟)^𝑚−1=(1+3.5%)^2−1=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317500</xdr:colOff>
      <xdr:row>145</xdr:row>
      <xdr:rowOff>47625</xdr:rowOff>
    </xdr:from>
    <xdr:ext cx="2476618" cy="3543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D8FBC93-40CF-A47B-9744-098D5C9F93EB}"/>
                </a:ext>
              </a:extLst>
            </xdr:cNvPr>
            <xdr:cNvSpPr txBox="1"/>
          </xdr:nvSpPr>
          <xdr:spPr>
            <a:xfrm>
              <a:off x="13519721382" y="29283025"/>
              <a:ext cx="2476618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=100,000∗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9%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=109,308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D8FBC93-40CF-A47B-9744-098D5C9F93EB}"/>
                </a:ext>
              </a:extLst>
            </xdr:cNvPr>
            <xdr:cNvSpPr txBox="1"/>
          </xdr:nvSpPr>
          <xdr:spPr>
            <a:xfrm>
              <a:off x="13519721382" y="29283025"/>
              <a:ext cx="2476618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𝐹𝑉_1=100,000∗(1+(9%)/4)^4=109,308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514685</xdr:colOff>
      <xdr:row>185</xdr:row>
      <xdr:rowOff>73527</xdr:rowOff>
    </xdr:from>
    <xdr:to>
      <xdr:col>6</xdr:col>
      <xdr:colOff>768684</xdr:colOff>
      <xdr:row>185</xdr:row>
      <xdr:rowOff>80211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502C5D78-B555-A3E6-873B-FF70DE2C0830}"/>
            </a:ext>
          </a:extLst>
        </xdr:cNvPr>
        <xdr:cNvCxnSpPr/>
      </xdr:nvCxnSpPr>
      <xdr:spPr>
        <a:xfrm>
          <a:off x="13574007316" y="37264474"/>
          <a:ext cx="5227052" cy="668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207212</xdr:colOff>
      <xdr:row>191</xdr:row>
      <xdr:rowOff>187827</xdr:rowOff>
    </xdr:from>
    <xdr:ext cx="2809826" cy="33938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5081B72-98BC-CFA4-2C89-C24AA4DFD550}"/>
                </a:ext>
              </a:extLst>
            </xdr:cNvPr>
            <xdr:cNvSpPr txBox="1"/>
          </xdr:nvSpPr>
          <xdr:spPr>
            <a:xfrm>
              <a:off x="13574245489" y="38581932"/>
              <a:ext cx="2809826" cy="3393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1.5 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844,565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675,000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5081B72-98BC-CFA4-2C89-C24AA4DFD550}"/>
                </a:ext>
              </a:extLst>
            </xdr:cNvPr>
            <xdr:cNvSpPr txBox="1"/>
          </xdr:nvSpPr>
          <xdr:spPr>
            <a:xfrm>
              <a:off x="13574245489" y="38581932"/>
              <a:ext cx="2809826" cy="3393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(1.5 𝑦𝑒𝑎𝑟𝑠)=844,565/675,000−1=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260686</xdr:colOff>
      <xdr:row>198</xdr:row>
      <xdr:rowOff>114301</xdr:rowOff>
    </xdr:from>
    <xdr:ext cx="28098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8A282DD6-CB6F-CEC7-0D61-A79CD2E01EDD}"/>
                </a:ext>
              </a:extLst>
            </xdr:cNvPr>
            <xdr:cNvSpPr txBox="1"/>
          </xdr:nvSpPr>
          <xdr:spPr>
            <a:xfrm>
              <a:off x="13574192015" y="39912090"/>
              <a:ext cx="28098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8A282DD6-CB6F-CEC7-0D61-A79CD2E01EDD}"/>
                </a:ext>
              </a:extLst>
            </xdr:cNvPr>
            <xdr:cNvSpPr txBox="1"/>
          </xdr:nvSpPr>
          <xdr:spPr>
            <a:xfrm>
              <a:off x="13574192015" y="39912090"/>
              <a:ext cx="28098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(𝑎𝑛𝑛𝑢𝑎𝑙)=(1+𝑟)^𝑚−1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227265</xdr:colOff>
      <xdr:row>199</xdr:row>
      <xdr:rowOff>161091</xdr:rowOff>
    </xdr:from>
    <xdr:ext cx="2809826" cy="25263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0B57570C-4567-2A4D-D77F-037A8BF3F5AD}"/>
                </a:ext>
              </a:extLst>
            </xdr:cNvPr>
            <xdr:cNvSpPr txBox="1"/>
          </xdr:nvSpPr>
          <xdr:spPr>
            <a:xfrm>
              <a:off x="13574225436" y="40159407"/>
              <a:ext cx="2809826" cy="25263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1+25.121%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1.5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0B57570C-4567-2A4D-D77F-037A8BF3F5AD}"/>
                </a:ext>
              </a:extLst>
            </xdr:cNvPr>
            <xdr:cNvSpPr txBox="1"/>
          </xdr:nvSpPr>
          <xdr:spPr>
            <a:xfrm>
              <a:off x="13574225436" y="40159407"/>
              <a:ext cx="2809826" cy="25263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(𝑎𝑛𝑛𝑢𝑎𝑙)=(1+25.121%)^(</a:t>
              </a:r>
              <a:r>
                <a:rPr lang="he-IL" sz="1100" b="0" i="0">
                  <a:latin typeface="Cambria Math" panose="02040503050406030204" pitchFamily="18" charset="0"/>
                </a:rPr>
                <a:t>1/1.5</a:t>
              </a:r>
              <a:r>
                <a:rPr lang="en-US" sz="1100" b="0" i="0">
                  <a:latin typeface="Cambria Math" panose="02040503050406030204" pitchFamily="18" charset="0"/>
                </a:rPr>
                <a:t>)−1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275167</xdr:colOff>
      <xdr:row>214</xdr:row>
      <xdr:rowOff>84667</xdr:rowOff>
    </xdr:from>
    <xdr:to>
      <xdr:col>7</xdr:col>
      <xdr:colOff>98778</xdr:colOff>
      <xdr:row>214</xdr:row>
      <xdr:rowOff>105833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CE462E58-C482-514F-C897-57F2F621C211}"/>
            </a:ext>
          </a:extLst>
        </xdr:cNvPr>
        <xdr:cNvCxnSpPr/>
      </xdr:nvCxnSpPr>
      <xdr:spPr>
        <a:xfrm>
          <a:off x="13519114722" y="43899667"/>
          <a:ext cx="4776611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714375</xdr:colOff>
      <xdr:row>234</xdr:row>
      <xdr:rowOff>185737</xdr:rowOff>
    </xdr:from>
    <xdr:ext cx="1817012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4932B25-0462-C0B6-F5D4-0F434E50D31E}"/>
                </a:ext>
              </a:extLst>
            </xdr:cNvPr>
            <xdr:cNvSpPr txBox="1"/>
          </xdr:nvSpPr>
          <xdr:spPr>
            <a:xfrm>
              <a:off x="13519158613" y="45318362"/>
              <a:ext cx="18170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4932B25-0462-C0B6-F5D4-0F434E50D31E}"/>
                </a:ext>
              </a:extLst>
            </xdr:cNvPr>
            <xdr:cNvSpPr txBox="1"/>
          </xdr:nvSpPr>
          <xdr:spPr>
            <a:xfrm>
              <a:off x="13519158613" y="45318362"/>
              <a:ext cx="18170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(2𝑦𝑒𝑎𝑟𝑠)=(1+𝑅/𝑛)^𝑚−1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685800</xdr:colOff>
      <xdr:row>224</xdr:row>
      <xdr:rowOff>200025</xdr:rowOff>
    </xdr:from>
    <xdr:ext cx="3321168" cy="35016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C7685CBC-B444-BE75-3CF8-90B64136B64E}"/>
                </a:ext>
              </a:extLst>
            </xdr:cNvPr>
            <xdr:cNvSpPr txBox="1"/>
          </xdr:nvSpPr>
          <xdr:spPr>
            <a:xfrm>
              <a:off x="13520159532" y="45742225"/>
              <a:ext cx="3321168" cy="35016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𝑡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127,551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96,000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−1=32.8%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C7685CBC-B444-BE75-3CF8-90B64136B64E}"/>
                </a:ext>
              </a:extLst>
            </xdr:cNvPr>
            <xdr:cNvSpPr txBox="1"/>
          </xdr:nvSpPr>
          <xdr:spPr>
            <a:xfrm>
              <a:off x="13520159532" y="45742225"/>
              <a:ext cx="3321168" cy="35016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(2𝑦𝑒𝑎𝑟𝑠)=𝑃_𝑡/𝑃_0 −1=127,551/96,000−1=32.8%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704850</xdr:colOff>
      <xdr:row>228</xdr:row>
      <xdr:rowOff>41275</xdr:rowOff>
    </xdr:from>
    <xdr:ext cx="332116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27A73D4-D211-AAE2-CD62-29D025960AA4}"/>
                </a:ext>
              </a:extLst>
            </xdr:cNvPr>
            <xdr:cNvSpPr txBox="1"/>
          </xdr:nvSpPr>
          <xdr:spPr>
            <a:xfrm>
              <a:off x="13520140482" y="46396275"/>
              <a:ext cx="332116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1+32.8%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−1=15.238823%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27A73D4-D211-AAE2-CD62-29D025960AA4}"/>
                </a:ext>
              </a:extLst>
            </xdr:cNvPr>
            <xdr:cNvSpPr txBox="1"/>
          </xdr:nvSpPr>
          <xdr:spPr>
            <a:xfrm>
              <a:off x="13520140482" y="46396275"/>
              <a:ext cx="332116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(𝑦𝑒𝑎𝑟𝑠)=</a:t>
              </a:r>
              <a:r>
                <a:rPr lang="he-IL" sz="1100" b="0" i="0">
                  <a:latin typeface="Cambria Math" panose="02040503050406030204" pitchFamily="18" charset="0"/>
                </a:rPr>
                <a:t>(1+32.8%)^(1/2)−1=15.238823%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542925</xdr:colOff>
      <xdr:row>232</xdr:row>
      <xdr:rowOff>39687</xdr:rowOff>
    </xdr:from>
    <xdr:ext cx="18170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72DED9DC-7CEC-6875-0CE5-19AAF71B0ED0}"/>
                </a:ext>
              </a:extLst>
            </xdr:cNvPr>
            <xdr:cNvSpPr txBox="1"/>
          </xdr:nvSpPr>
          <xdr:spPr>
            <a:xfrm>
              <a:off x="13519330063" y="47207487"/>
              <a:ext cx="1817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72DED9DC-7CEC-6875-0CE5-19AAF71B0ED0}"/>
                </a:ext>
              </a:extLst>
            </xdr:cNvPr>
            <xdr:cNvSpPr txBox="1"/>
          </xdr:nvSpPr>
          <xdr:spPr>
            <a:xfrm>
              <a:off x="13519330063" y="47207487"/>
              <a:ext cx="1817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781051</xdr:colOff>
      <xdr:row>237</xdr:row>
      <xdr:rowOff>160337</xdr:rowOff>
    </xdr:from>
    <xdr:ext cx="2340887" cy="35503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650AD82-49DA-4147-5A2A-805C71C0721F}"/>
                </a:ext>
              </a:extLst>
            </xdr:cNvPr>
            <xdr:cNvSpPr txBox="1"/>
          </xdr:nvSpPr>
          <xdr:spPr>
            <a:xfrm>
              <a:off x="13519393562" y="48344137"/>
              <a:ext cx="2340887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8%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650AD82-49DA-4147-5A2A-805C71C0721F}"/>
                </a:ext>
              </a:extLst>
            </xdr:cNvPr>
            <xdr:cNvSpPr txBox="1"/>
          </xdr:nvSpPr>
          <xdr:spPr>
            <a:xfrm>
              <a:off x="13519393562" y="48344137"/>
              <a:ext cx="2340887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(2𝑦𝑒𝑎𝑟𝑠)=(1+(</a:t>
              </a:r>
              <a:r>
                <a:rPr lang="he-IL" sz="1100" b="0" i="0">
                  <a:latin typeface="Cambria Math" panose="02040503050406030204" pitchFamily="18" charset="0"/>
                </a:rPr>
                <a:t>8%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666751</xdr:colOff>
      <xdr:row>240</xdr:row>
      <xdr:rowOff>33337</xdr:rowOff>
    </xdr:from>
    <xdr:ext cx="3591837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641A029-36F7-F5A1-7AD7-A1BDC38CA2AC}"/>
                </a:ext>
              </a:extLst>
            </xdr:cNvPr>
            <xdr:cNvSpPr txBox="1"/>
          </xdr:nvSpPr>
          <xdr:spPr>
            <a:xfrm>
              <a:off x="13519082412" y="48826737"/>
              <a:ext cx="3591837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1+16.64%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=8%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641A029-36F7-F5A1-7AD7-A1BDC38CA2AC}"/>
                </a:ext>
              </a:extLst>
            </xdr:cNvPr>
            <xdr:cNvSpPr txBox="1"/>
          </xdr:nvSpPr>
          <xdr:spPr>
            <a:xfrm>
              <a:off x="13519082412" y="48826737"/>
              <a:ext cx="3591837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𝑎𝑛𝑛𝑢𝑎𝑙)=(1+16.64%)^(1/2)−1=8%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717550</xdr:colOff>
      <xdr:row>259</xdr:row>
      <xdr:rowOff>190500</xdr:rowOff>
    </xdr:from>
    <xdr:ext cx="2514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𝑟_𝑒=(1+𝑟)^𝑚−1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oneCellAnchor>
    <xdr:from>
      <xdr:col>3</xdr:col>
      <xdr:colOff>19050</xdr:colOff>
      <xdr:row>260</xdr:row>
      <xdr:rowOff>152400</xdr:rowOff>
    </xdr:from>
    <xdr:ext cx="227341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1+12.550881%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𝑟_𝑒=(1+12.550881%)^(1/4)−1=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45222</xdr:colOff>
      <xdr:row>69</xdr:row>
      <xdr:rowOff>22612</xdr:rowOff>
    </xdr:from>
    <xdr:to>
      <xdr:col>5</xdr:col>
      <xdr:colOff>211038</xdr:colOff>
      <xdr:row>69</xdr:row>
      <xdr:rowOff>169585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6112C25-52CA-2F51-7367-28AB14427738}"/>
            </a:ext>
          </a:extLst>
        </xdr:cNvPr>
        <xdr:cNvSpPr/>
      </xdr:nvSpPr>
      <xdr:spPr>
        <a:xfrm>
          <a:off x="13517684036" y="14064214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169584</xdr:colOff>
      <xdr:row>68</xdr:row>
      <xdr:rowOff>60297</xdr:rowOff>
    </xdr:from>
    <xdr:to>
      <xdr:col>4</xdr:col>
      <xdr:colOff>335400</xdr:colOff>
      <xdr:row>69</xdr:row>
      <xdr:rowOff>3769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70CE858-A5AF-39C9-7840-BB360B402BC7}"/>
            </a:ext>
          </a:extLst>
        </xdr:cNvPr>
        <xdr:cNvSpPr/>
      </xdr:nvSpPr>
      <xdr:spPr>
        <a:xfrm>
          <a:off x="13518384986" y="1389839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52758</xdr:colOff>
      <xdr:row>69</xdr:row>
      <xdr:rowOff>30150</xdr:rowOff>
    </xdr:from>
    <xdr:to>
      <xdr:col>3</xdr:col>
      <xdr:colOff>218574</xdr:colOff>
      <xdr:row>69</xdr:row>
      <xdr:rowOff>177123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70A16BE9-4A3A-4AEA-BD0F-6D2B03E7E45F}"/>
            </a:ext>
          </a:extLst>
        </xdr:cNvPr>
        <xdr:cNvSpPr/>
      </xdr:nvSpPr>
      <xdr:spPr>
        <a:xfrm>
          <a:off x="13519327123" y="14071752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6</xdr:col>
      <xdr:colOff>667032</xdr:colOff>
      <xdr:row>69</xdr:row>
      <xdr:rowOff>15076</xdr:rowOff>
    </xdr:from>
    <xdr:to>
      <xdr:col>6</xdr:col>
      <xdr:colOff>832848</xdr:colOff>
      <xdr:row>69</xdr:row>
      <xdr:rowOff>162049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01488D3-AF0B-62A4-6ACC-B0DC707DA6FB}"/>
            </a:ext>
          </a:extLst>
        </xdr:cNvPr>
        <xdr:cNvSpPr/>
      </xdr:nvSpPr>
      <xdr:spPr>
        <a:xfrm>
          <a:off x="13516236915" y="1405667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 editAs="oneCell">
    <xdr:from>
      <xdr:col>8</xdr:col>
      <xdr:colOff>123789</xdr:colOff>
      <xdr:row>179</xdr:row>
      <xdr:rowOff>41566</xdr:rowOff>
    </xdr:from>
    <xdr:to>
      <xdr:col>13</xdr:col>
      <xdr:colOff>427067</xdr:colOff>
      <xdr:row>189</xdr:row>
      <xdr:rowOff>86949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46DFE0B-B88F-888F-142C-3F6540A6C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74983933" y="36296331"/>
          <a:ext cx="4449454" cy="2062442"/>
        </a:xfrm>
        <a:prstGeom prst="rect">
          <a:avLst/>
        </a:prstGeom>
      </xdr:spPr>
    </xdr:pic>
    <xdr:clientData/>
  </xdr:twoCellAnchor>
  <xdr:twoCellAnchor>
    <xdr:from>
      <xdr:col>5</xdr:col>
      <xdr:colOff>13368</xdr:colOff>
      <xdr:row>263</xdr:row>
      <xdr:rowOff>200526</xdr:rowOff>
    </xdr:from>
    <xdr:to>
      <xdr:col>5</xdr:col>
      <xdr:colOff>222807</xdr:colOff>
      <xdr:row>264</xdr:row>
      <xdr:rowOff>178246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D5D5C87-A7F7-1A41-E75B-9D8102082DA8}"/>
            </a:ext>
          </a:extLst>
        </xdr:cNvPr>
        <xdr:cNvSpPr/>
      </xdr:nvSpPr>
      <xdr:spPr>
        <a:xfrm>
          <a:off x="13502510772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66842</xdr:colOff>
      <xdr:row>266</xdr:row>
      <xdr:rowOff>173790</xdr:rowOff>
    </xdr:from>
    <xdr:to>
      <xdr:col>5</xdr:col>
      <xdr:colOff>71298</xdr:colOff>
      <xdr:row>279</xdr:row>
      <xdr:rowOff>8912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907AA747-7A67-C755-2D99-75ACCB99DBD4}"/>
            </a:ext>
          </a:extLst>
        </xdr:cNvPr>
        <xdr:cNvCxnSpPr/>
      </xdr:nvCxnSpPr>
      <xdr:spPr>
        <a:xfrm>
          <a:off x="13502662281" y="46535474"/>
          <a:ext cx="4456" cy="24998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806561</xdr:colOff>
      <xdr:row>263</xdr:row>
      <xdr:rowOff>200526</xdr:rowOff>
    </xdr:from>
    <xdr:to>
      <xdr:col>4</xdr:col>
      <xdr:colOff>191614</xdr:colOff>
      <xdr:row>264</xdr:row>
      <xdr:rowOff>178246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F60E6AE0-F813-277A-787C-8B47E5790570}"/>
            </a:ext>
          </a:extLst>
        </xdr:cNvPr>
        <xdr:cNvSpPr/>
      </xdr:nvSpPr>
      <xdr:spPr>
        <a:xfrm>
          <a:off x="13503366351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204983</xdr:colOff>
      <xdr:row>262</xdr:row>
      <xdr:rowOff>17825</xdr:rowOff>
    </xdr:from>
    <xdr:to>
      <xdr:col>2</xdr:col>
      <xdr:colOff>797649</xdr:colOff>
      <xdr:row>267</xdr:row>
      <xdr:rowOff>111403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025E27FD-B0B3-ADA8-870F-0E02809CB43D}"/>
            </a:ext>
          </a:extLst>
        </xdr:cNvPr>
        <xdr:cNvCxnSpPr/>
      </xdr:nvCxnSpPr>
      <xdr:spPr>
        <a:xfrm flipV="1">
          <a:off x="13504435825" y="45550667"/>
          <a:ext cx="592666" cy="1127403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258456</xdr:colOff>
      <xdr:row>261</xdr:row>
      <xdr:rowOff>187158</xdr:rowOff>
    </xdr:from>
    <xdr:to>
      <xdr:col>4</xdr:col>
      <xdr:colOff>98035</xdr:colOff>
      <xdr:row>267</xdr:row>
      <xdr:rowOff>84666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BFEB5BE-9BB2-7A00-ABB1-E5D81B661597}"/>
            </a:ext>
          </a:extLst>
        </xdr:cNvPr>
        <xdr:cNvCxnSpPr/>
      </xdr:nvCxnSpPr>
      <xdr:spPr>
        <a:xfrm flipH="1">
          <a:off x="13503459930" y="45515018"/>
          <a:ext cx="1515088" cy="1136315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35649</xdr:colOff>
      <xdr:row>263</xdr:row>
      <xdr:rowOff>4455</xdr:rowOff>
    </xdr:from>
    <xdr:to>
      <xdr:col>3</xdr:col>
      <xdr:colOff>245088</xdr:colOff>
      <xdr:row>263</xdr:row>
      <xdr:rowOff>187157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BF640DD1-5F34-0C30-D3CC-1CD551520B6D}"/>
            </a:ext>
          </a:extLst>
        </xdr:cNvPr>
        <xdr:cNvSpPr/>
      </xdr:nvSpPr>
      <xdr:spPr>
        <a:xfrm>
          <a:off x="13504137263" y="45751192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oneCellAnchor>
    <xdr:from>
      <xdr:col>2</xdr:col>
      <xdr:colOff>843139</xdr:colOff>
      <xdr:row>436</xdr:row>
      <xdr:rowOff>147814</xdr:rowOff>
    </xdr:from>
    <xdr:ext cx="3591044" cy="34541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begChr m:val="["/>
                        <m:endChr m:val="]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𝑃𝑉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𝑃𝑉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𝑛𝑝𝑒𝑟</m:t>
                            </m:r>
                          </m:den>
                        </m:f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∗6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∗6%=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𝐼𝑁𝑇_7=𝐵𝐴𝐿_6∗𝑟=[𝑃𝑉−𝑃𝑉/𝑛𝑝𝑒𝑟∗6]∗6%=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666751</xdr:colOff>
      <xdr:row>438</xdr:row>
      <xdr:rowOff>112889</xdr:rowOff>
    </xdr:from>
    <xdr:to>
      <xdr:col>8</xdr:col>
      <xdr:colOff>3529</xdr:colOff>
      <xdr:row>439</xdr:row>
      <xdr:rowOff>183445</xdr:rowOff>
    </xdr:to>
    <xdr:sp macro="" textlink="">
      <xdr:nvSpPr>
        <xdr:cNvPr id="25" name="Rectangular Callout 24">
          <a:extLst>
            <a:ext uri="{FF2B5EF4-FFF2-40B4-BE49-F238E27FC236}">
              <a16:creationId xmlns:a16="http://schemas.microsoft.com/office/drawing/2014/main" id="{C2941AD6-EC8F-E1DE-97EE-BC99094D0516}"/>
            </a:ext>
          </a:extLst>
        </xdr:cNvPr>
        <xdr:cNvSpPr/>
      </xdr:nvSpPr>
      <xdr:spPr>
        <a:xfrm>
          <a:off x="13518384471" y="85615639"/>
          <a:ext cx="1100667" cy="275167"/>
        </a:xfrm>
        <a:prstGeom prst="wedgeRectCallout">
          <a:avLst>
            <a:gd name="adj1" fmla="val 59936"/>
            <a:gd name="adj2" fmla="val -8717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ריבית לזמן 7</a:t>
          </a:r>
          <a:endParaRPr lang="en-US" sz="1100"/>
        </a:p>
      </xdr:txBody>
    </xdr:sp>
    <xdr:clientData/>
  </xdr:twoCellAnchor>
  <xdr:twoCellAnchor>
    <xdr:from>
      <xdr:col>5</xdr:col>
      <xdr:colOff>310445</xdr:colOff>
      <xdr:row>439</xdr:row>
      <xdr:rowOff>21167</xdr:rowOff>
    </xdr:from>
    <xdr:to>
      <xdr:col>6</xdr:col>
      <xdr:colOff>560917</xdr:colOff>
      <xdr:row>443</xdr:row>
      <xdr:rowOff>169333</xdr:rowOff>
    </xdr:to>
    <xdr:sp macro="" textlink="">
      <xdr:nvSpPr>
        <xdr:cNvPr id="26" name="Rectangular Callout 25">
          <a:extLst>
            <a:ext uri="{FF2B5EF4-FFF2-40B4-BE49-F238E27FC236}">
              <a16:creationId xmlns:a16="http://schemas.microsoft.com/office/drawing/2014/main" id="{1550D78D-C774-CC8F-29B1-01379F0DA853}"/>
            </a:ext>
          </a:extLst>
        </xdr:cNvPr>
        <xdr:cNvSpPr/>
      </xdr:nvSpPr>
      <xdr:spPr>
        <a:xfrm>
          <a:off x="13519590972" y="85728528"/>
          <a:ext cx="1100667" cy="966611"/>
        </a:xfrm>
        <a:prstGeom prst="wedgeRectCallout">
          <a:avLst>
            <a:gd name="adj1" fmla="val 12500"/>
            <a:gd name="adj2" fmla="val -684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 לזמן 6: כי תמיד מחשבים את הריבית על בסיס היתרה לתקופה קודמת</a:t>
          </a:r>
          <a:endParaRPr lang="en-US" sz="1100"/>
        </a:p>
      </xdr:txBody>
    </xdr:sp>
    <xdr:clientData/>
  </xdr:twoCellAnchor>
  <xdr:twoCellAnchor>
    <xdr:from>
      <xdr:col>3</xdr:col>
      <xdr:colOff>772584</xdr:colOff>
      <xdr:row>439</xdr:row>
      <xdr:rowOff>74083</xdr:rowOff>
    </xdr:from>
    <xdr:to>
      <xdr:col>5</xdr:col>
      <xdr:colOff>158751</xdr:colOff>
      <xdr:row>443</xdr:row>
      <xdr:rowOff>162277</xdr:rowOff>
    </xdr:to>
    <xdr:sp macro="" textlink="">
      <xdr:nvSpPr>
        <xdr:cNvPr id="27" name="Rectangular Callout 26">
          <a:extLst>
            <a:ext uri="{FF2B5EF4-FFF2-40B4-BE49-F238E27FC236}">
              <a16:creationId xmlns:a16="http://schemas.microsoft.com/office/drawing/2014/main" id="{29BE0194-8359-7077-DCBD-B46D30B6A724}"/>
            </a:ext>
          </a:extLst>
        </xdr:cNvPr>
        <xdr:cNvSpPr/>
      </xdr:nvSpPr>
      <xdr:spPr>
        <a:xfrm>
          <a:off x="13520843333" y="85781444"/>
          <a:ext cx="1100667" cy="906639"/>
        </a:xfrm>
        <a:prstGeom prst="wedgeRectCallout">
          <a:avLst>
            <a:gd name="adj1" fmla="val -11218"/>
            <a:gd name="adj2" fmla="val -578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</a:t>
          </a:r>
          <a:r>
            <a:rPr lang="he-IL" sz="1100" baseline="0"/>
            <a:t> לזמן 6 לפי הלוואה מקורית בניכוי 6 תשלומי קרן קבועים</a:t>
          </a:r>
          <a:endParaRPr lang="en-US" sz="1100"/>
        </a:p>
      </xdr:txBody>
    </xdr:sp>
    <xdr:clientData/>
  </xdr:twoCellAnchor>
  <xdr:twoCellAnchor>
    <xdr:from>
      <xdr:col>4</xdr:col>
      <xdr:colOff>59970</xdr:colOff>
      <xdr:row>438</xdr:row>
      <xdr:rowOff>26458</xdr:rowOff>
    </xdr:from>
    <xdr:to>
      <xdr:col>5</xdr:col>
      <xdr:colOff>213429</xdr:colOff>
      <xdr:row>438</xdr:row>
      <xdr:rowOff>179917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B338563B-373B-B8D0-887F-7B8E6F8E2C4C}"/>
            </a:ext>
          </a:extLst>
        </xdr:cNvPr>
        <xdr:cNvSpPr/>
      </xdr:nvSpPr>
      <xdr:spPr>
        <a:xfrm rot="16200000">
          <a:off x="13521201405" y="85116458"/>
          <a:ext cx="153459" cy="97895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107950</xdr:colOff>
      <xdr:row>60</xdr:row>
      <xdr:rowOff>171450</xdr:rowOff>
    </xdr:from>
    <xdr:to>
      <xdr:col>7</xdr:col>
      <xdr:colOff>577850</xdr:colOff>
      <xdr:row>66</xdr:row>
      <xdr:rowOff>88900</xdr:rowOff>
    </xdr:to>
    <xdr:sp macro="" textlink="">
      <xdr:nvSpPr>
        <xdr:cNvPr id="8" name="Rounded Rectangle 7">
          <a:extLst>
            <a:ext uri="{FF2B5EF4-FFF2-40B4-BE49-F238E27FC236}">
              <a16:creationId xmlns:a16="http://schemas.microsoft.com/office/drawing/2014/main" id="{9FCBAE30-78C1-BD96-07EA-F9D8176E668C}"/>
            </a:ext>
          </a:extLst>
        </xdr:cNvPr>
        <xdr:cNvSpPr/>
      </xdr:nvSpPr>
      <xdr:spPr>
        <a:xfrm>
          <a:off x="13518661050" y="12363450"/>
          <a:ext cx="2235200" cy="11366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תזכורת: סכום הלוואה 4,000</a:t>
          </a:r>
        </a:p>
        <a:p>
          <a:pPr algn="r" rtl="1"/>
          <a:r>
            <a:rPr lang="he-IL" sz="1100"/>
            <a:t>תשלומים כל: חודש</a:t>
          </a:r>
        </a:p>
        <a:p>
          <a:pPr algn="r" rtl="1"/>
          <a:r>
            <a:rPr lang="he-IL" sz="1100"/>
            <a:t>ריבית חודשית: 0.4%</a:t>
          </a:r>
        </a:p>
        <a:p>
          <a:pPr algn="r" rtl="1"/>
          <a:r>
            <a:rPr lang="he-IL" sz="1100"/>
            <a:t>מספר התשלומים: 24</a:t>
          </a:r>
        </a:p>
        <a:p>
          <a:pPr algn="r" rtl="1"/>
          <a:r>
            <a:rPr lang="he-IL" sz="1100" u="sng"/>
            <a:t>סוג</a:t>
          </a:r>
          <a:r>
            <a:rPr lang="he-IL" sz="1100" u="sng" baseline="0"/>
            <a:t> הלוח: שפיצר (תשלומים שווים)</a:t>
          </a:r>
          <a:endParaRPr lang="en-US" sz="1100" u="sng"/>
        </a:p>
      </xdr:txBody>
    </xdr:sp>
    <xdr:clientData/>
  </xdr:twoCellAnchor>
  <xdr:twoCellAnchor editAs="oneCell">
    <xdr:from>
      <xdr:col>8</xdr:col>
      <xdr:colOff>390338</xdr:colOff>
      <xdr:row>128</xdr:row>
      <xdr:rowOff>119529</xdr:rowOff>
    </xdr:from>
    <xdr:to>
      <xdr:col>9</xdr:col>
      <xdr:colOff>630518</xdr:colOff>
      <xdr:row>134</xdr:row>
      <xdr:rowOff>131482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B71F763-CE37-6652-1567-F106D60A5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78097423" y="25997647"/>
          <a:ext cx="1069415" cy="1222188"/>
        </a:xfrm>
        <a:prstGeom prst="rect">
          <a:avLst/>
        </a:prstGeom>
      </xdr:spPr>
    </xdr:pic>
    <xdr:clientData/>
  </xdr:twoCellAnchor>
  <xdr:twoCellAnchor>
    <xdr:from>
      <xdr:col>6</xdr:col>
      <xdr:colOff>478117</xdr:colOff>
      <xdr:row>128</xdr:row>
      <xdr:rowOff>179294</xdr:rowOff>
    </xdr:from>
    <xdr:to>
      <xdr:col>8</xdr:col>
      <xdr:colOff>313764</xdr:colOff>
      <xdr:row>135</xdr:row>
      <xdr:rowOff>194235</xdr:rowOff>
    </xdr:to>
    <xdr:sp macro="" textlink="">
      <xdr:nvSpPr>
        <xdr:cNvPr id="29" name="Rectangular Callout 28">
          <a:extLst>
            <a:ext uri="{FF2B5EF4-FFF2-40B4-BE49-F238E27FC236}">
              <a16:creationId xmlns:a16="http://schemas.microsoft.com/office/drawing/2014/main" id="{8D3D67D4-330D-024D-68ED-47208846A352}"/>
            </a:ext>
          </a:extLst>
        </xdr:cNvPr>
        <xdr:cNvSpPr/>
      </xdr:nvSpPr>
      <xdr:spPr>
        <a:xfrm>
          <a:off x="13579243412" y="26057412"/>
          <a:ext cx="1598706" cy="1426882"/>
        </a:xfrm>
        <a:prstGeom prst="wedgeRectCallout">
          <a:avLst>
            <a:gd name="adj1" fmla="val -62889"/>
            <a:gd name="adj2" fmla="val -41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ההבדל: </a:t>
          </a:r>
          <a:r>
            <a:rPr lang="en-US" sz="1100"/>
            <a:t>ppmt</a:t>
          </a:r>
          <a:r>
            <a:rPr lang="he-IL" sz="1100"/>
            <a:t> מייצג את החזר הקרן - הסכום שבו תקטן ההלוואה מתקופה לתקופה.</a:t>
          </a:r>
        </a:p>
        <a:p>
          <a:pPr algn="r" rtl="1"/>
          <a:r>
            <a:rPr lang="he-IL" sz="1100"/>
            <a:t>ה-</a:t>
          </a:r>
          <a:r>
            <a:rPr lang="en-US" sz="1100"/>
            <a:t>ipmt</a:t>
          </a:r>
          <a:r>
            <a:rPr lang="he-IL" sz="1100" baseline="0"/>
            <a:t> מייצג לעומת זאת את תשלום הריבית המייצג את עלות המימון של הלווה / הרווח של הבנק</a:t>
          </a:r>
          <a:endParaRPr lang="en-US" sz="1100"/>
        </a:p>
      </xdr:txBody>
    </xdr:sp>
    <xdr:clientData/>
  </xdr:twoCellAnchor>
  <xdr:twoCellAnchor>
    <xdr:from>
      <xdr:col>6</xdr:col>
      <xdr:colOff>690912</xdr:colOff>
      <xdr:row>188</xdr:row>
      <xdr:rowOff>15975</xdr:rowOff>
    </xdr:from>
    <xdr:to>
      <xdr:col>6</xdr:col>
      <xdr:colOff>842673</xdr:colOff>
      <xdr:row>188</xdr:row>
      <xdr:rowOff>187705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CF06D73A-E8CA-BE41-8450-341B8A8E72CC}"/>
            </a:ext>
          </a:extLst>
        </xdr:cNvPr>
        <xdr:cNvSpPr/>
      </xdr:nvSpPr>
      <xdr:spPr>
        <a:xfrm>
          <a:off x="13580477562" y="41918504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658962</xdr:colOff>
      <xdr:row>188</xdr:row>
      <xdr:rowOff>23962</xdr:rowOff>
    </xdr:from>
    <xdr:to>
      <xdr:col>3</xdr:col>
      <xdr:colOff>810723</xdr:colOff>
      <xdr:row>188</xdr:row>
      <xdr:rowOff>195692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18B1B679-7626-9842-B0BB-EAD51D1DAA53}"/>
            </a:ext>
          </a:extLst>
        </xdr:cNvPr>
        <xdr:cNvSpPr/>
      </xdr:nvSpPr>
      <xdr:spPr>
        <a:xfrm>
          <a:off x="13583079394" y="41926491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690911</xdr:colOff>
      <xdr:row>188</xdr:row>
      <xdr:rowOff>23962</xdr:rowOff>
    </xdr:from>
    <xdr:to>
      <xdr:col>5</xdr:col>
      <xdr:colOff>15974</xdr:colOff>
      <xdr:row>188</xdr:row>
      <xdr:rowOff>195692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D81614E6-1910-CE49-9F31-8D6F83148D18}"/>
            </a:ext>
          </a:extLst>
        </xdr:cNvPr>
        <xdr:cNvSpPr/>
      </xdr:nvSpPr>
      <xdr:spPr>
        <a:xfrm>
          <a:off x="13582155908" y="41926491"/>
          <a:ext cx="154298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722861</xdr:colOff>
      <xdr:row>188</xdr:row>
      <xdr:rowOff>19967</xdr:rowOff>
    </xdr:from>
    <xdr:to>
      <xdr:col>6</xdr:col>
      <xdr:colOff>47924</xdr:colOff>
      <xdr:row>188</xdr:row>
      <xdr:rowOff>191697</xdr:rowOff>
    </xdr:to>
    <xdr:sp macro="" textlink="">
      <xdr:nvSpPr>
        <xdr:cNvPr id="33" name="Oval 32">
          <a:extLst>
            <a:ext uri="{FF2B5EF4-FFF2-40B4-BE49-F238E27FC236}">
              <a16:creationId xmlns:a16="http://schemas.microsoft.com/office/drawing/2014/main" id="{B17A5149-0F47-B14A-96A6-740E70B8642C}"/>
            </a:ext>
          </a:extLst>
        </xdr:cNvPr>
        <xdr:cNvSpPr/>
      </xdr:nvSpPr>
      <xdr:spPr>
        <a:xfrm>
          <a:off x="13581272311" y="41922496"/>
          <a:ext cx="176710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3</xdr:col>
      <xdr:colOff>806823</xdr:colOff>
      <xdr:row>190</xdr:row>
      <xdr:rowOff>201705</xdr:rowOff>
    </xdr:from>
    <xdr:to>
      <xdr:col>3</xdr:col>
      <xdr:colOff>806823</xdr:colOff>
      <xdr:row>195</xdr:row>
      <xdr:rowOff>7470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61FD0982-9606-1149-A430-B37D0437AA74}"/>
            </a:ext>
          </a:extLst>
        </xdr:cNvPr>
        <xdr:cNvCxnSpPr/>
      </xdr:nvCxnSpPr>
      <xdr:spPr>
        <a:xfrm>
          <a:off x="13583083294" y="38473529"/>
          <a:ext cx="0" cy="81429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747059</xdr:colOff>
      <xdr:row>190</xdr:row>
      <xdr:rowOff>194235</xdr:rowOff>
    </xdr:from>
    <xdr:to>
      <xdr:col>4</xdr:col>
      <xdr:colOff>747059</xdr:colOff>
      <xdr:row>195</xdr:row>
      <xdr:rowOff>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AD67632C-00BE-9005-9602-9053B6CDBD9E}"/>
            </a:ext>
          </a:extLst>
        </xdr:cNvPr>
        <xdr:cNvCxnSpPr/>
      </xdr:nvCxnSpPr>
      <xdr:spPr>
        <a:xfrm>
          <a:off x="13582254058" y="38667764"/>
          <a:ext cx="0" cy="8142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698499</xdr:colOff>
      <xdr:row>198</xdr:row>
      <xdr:rowOff>201612</xdr:rowOff>
    </xdr:from>
    <xdr:ext cx="2515512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C03CD00B-8E36-D032-2140-AB59FEFEDBBC}"/>
                </a:ext>
              </a:extLst>
            </xdr:cNvPr>
            <xdr:cNvSpPr txBox="1"/>
          </xdr:nvSpPr>
          <xdr:spPr>
            <a:xfrm>
              <a:off x="13516023301" y="41143237"/>
              <a:ext cx="25155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C03CD00B-8E36-D032-2140-AB59FEFEDBBC}"/>
                </a:ext>
              </a:extLst>
            </xdr:cNvPr>
            <xdr:cNvSpPr txBox="1"/>
          </xdr:nvSpPr>
          <xdr:spPr>
            <a:xfrm>
              <a:off x="13516023301" y="41143237"/>
              <a:ext cx="25155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(𝑚𝑜𝑛𝑡ℎ)=(1+𝑅/𝑛)^𝑚−1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698499</xdr:colOff>
      <xdr:row>201</xdr:row>
      <xdr:rowOff>130175</xdr:rowOff>
    </xdr:from>
    <xdr:ext cx="2515512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08AB2932-0E78-7E96-8ACA-8A1EDDF46946}"/>
                </a:ext>
              </a:extLst>
            </xdr:cNvPr>
            <xdr:cNvSpPr txBox="1"/>
          </xdr:nvSpPr>
          <xdr:spPr>
            <a:xfrm>
              <a:off x="13516023301" y="41690925"/>
              <a:ext cx="251551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8%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08AB2932-0E78-7E96-8ACA-8A1EDDF46946}"/>
                </a:ext>
              </a:extLst>
            </xdr:cNvPr>
            <xdr:cNvSpPr txBox="1"/>
          </xdr:nvSpPr>
          <xdr:spPr>
            <a:xfrm>
              <a:off x="13516023301" y="41690925"/>
              <a:ext cx="251551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(𝑚𝑜𝑛𝑡ℎ)=(1+(8%)/</a:t>
              </a:r>
              <a:r>
                <a:rPr lang="he-IL" sz="1100" b="0" i="0">
                  <a:latin typeface="Cambria Math" panose="02040503050406030204" pitchFamily="18" charset="0"/>
                </a:rPr>
                <a:t>12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427789</xdr:colOff>
      <xdr:row>236</xdr:row>
      <xdr:rowOff>33421</xdr:rowOff>
    </xdr:from>
    <xdr:to>
      <xdr:col>3</xdr:col>
      <xdr:colOff>427789</xdr:colOff>
      <xdr:row>237</xdr:row>
      <xdr:rowOff>0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CA2006F-273B-A480-A5A4-7CB9C6C7634A}"/>
            </a:ext>
          </a:extLst>
        </xdr:cNvPr>
        <xdr:cNvCxnSpPr/>
      </xdr:nvCxnSpPr>
      <xdr:spPr>
        <a:xfrm>
          <a:off x="13577021895" y="47518053"/>
          <a:ext cx="0" cy="167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541420</xdr:colOff>
      <xdr:row>236</xdr:row>
      <xdr:rowOff>26737</xdr:rowOff>
    </xdr:from>
    <xdr:to>
      <xdr:col>4</xdr:col>
      <xdr:colOff>541420</xdr:colOff>
      <xdr:row>236</xdr:row>
      <xdr:rowOff>193842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02627873-BAD1-6714-A06A-7572EA10DB29}"/>
            </a:ext>
          </a:extLst>
        </xdr:cNvPr>
        <xdr:cNvCxnSpPr/>
      </xdr:nvCxnSpPr>
      <xdr:spPr>
        <a:xfrm>
          <a:off x="13576019264" y="47511369"/>
          <a:ext cx="0" cy="167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728578</xdr:colOff>
      <xdr:row>239</xdr:row>
      <xdr:rowOff>40773</xdr:rowOff>
    </xdr:from>
    <xdr:ext cx="17336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F5CC5D2B-4705-178C-37FC-A01FA4E90A81}"/>
                </a:ext>
              </a:extLst>
            </xdr:cNvPr>
            <xdr:cNvSpPr txBox="1"/>
          </xdr:nvSpPr>
          <xdr:spPr>
            <a:xfrm>
              <a:off x="13574098438" y="48126984"/>
              <a:ext cx="17336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F5CC5D2B-4705-178C-37FC-A01FA4E90A81}"/>
                </a:ext>
              </a:extLst>
            </xdr:cNvPr>
            <xdr:cNvSpPr txBox="1"/>
          </xdr:nvSpPr>
          <xdr:spPr>
            <a:xfrm>
              <a:off x="13574098438" y="48126984"/>
              <a:ext cx="17336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675106</xdr:colOff>
      <xdr:row>240</xdr:row>
      <xdr:rowOff>34090</xdr:rowOff>
    </xdr:from>
    <xdr:ext cx="2308509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0CEB83F-C0DB-6B71-B541-5067AD48B523}"/>
                </a:ext>
              </a:extLst>
            </xdr:cNvPr>
            <xdr:cNvSpPr txBox="1"/>
          </xdr:nvSpPr>
          <xdr:spPr>
            <a:xfrm>
              <a:off x="13573577069" y="48320827"/>
              <a:ext cx="2308509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1+12.6825%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−1≈1%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0CEB83F-C0DB-6B71-B541-5067AD48B523}"/>
                </a:ext>
              </a:extLst>
            </xdr:cNvPr>
            <xdr:cNvSpPr txBox="1"/>
          </xdr:nvSpPr>
          <xdr:spPr>
            <a:xfrm>
              <a:off x="13573577069" y="48320827"/>
              <a:ext cx="2308509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𝑟_𝑒=(1+12.6825%)^(1/12)−1≈1%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25401</xdr:colOff>
      <xdr:row>15</xdr:row>
      <xdr:rowOff>50800</xdr:rowOff>
    </xdr:from>
    <xdr:ext cx="1826801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𝑃𝑅𝑁=𝐿𝑂𝐴𝑁/𝑛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660400</xdr:colOff>
      <xdr:row>17</xdr:row>
      <xdr:rowOff>76200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152400</xdr:colOff>
      <xdr:row>19</xdr:row>
      <xdr:rowOff>169335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𝑃𝑀𝑇_𝑡=𝑃𝑅𝑁+𝐼𝑁𝑇_𝑡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50800</xdr:colOff>
      <xdr:row>21</xdr:row>
      <xdr:rowOff>177801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79731</xdr:colOff>
      <xdr:row>115</xdr:row>
      <xdr:rowOff>41118</xdr:rowOff>
    </xdr:from>
    <xdr:ext cx="20434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𝐼𝑁𝑇_7=7%∗𝐵𝐴𝐿_6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455605</xdr:colOff>
      <xdr:row>116</xdr:row>
      <xdr:rowOff>137934</xdr:rowOff>
    </xdr:from>
    <xdr:ext cx="2043480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𝐼𝑁𝑇_7=7%∗100,000/10∗4=2,800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222109</xdr:colOff>
      <xdr:row>118</xdr:row>
      <xdr:rowOff>160715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𝐼𝑁𝑇_𝑡=𝑟∗𝐿𝑂𝐴𝑁/𝑛∗(𝑛−𝑡+1)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632152</xdr:colOff>
      <xdr:row>120</xdr:row>
      <xdr:rowOff>177800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10−7+1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𝐼𝑁𝑇_7=7%∗100,000/10∗(10−7+1)=2,800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706188</xdr:colOff>
      <xdr:row>125</xdr:row>
      <xdr:rowOff>63898</xdr:rowOff>
    </xdr:from>
    <xdr:ext cx="26300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𝑁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𝐼𝑁𝑇_8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𝑃𝑅𝑁_8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119597</xdr:colOff>
      <xdr:row>127</xdr:row>
      <xdr:rowOff>41117</xdr:rowOff>
    </xdr:from>
    <xdr:ext cx="367796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7%∗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10−8+1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7%∗100,000/10∗(10−8+1)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100,000/10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125292</xdr:colOff>
      <xdr:row>131</xdr:row>
      <xdr:rowOff>69593</xdr:rowOff>
    </xdr:from>
    <xdr:ext cx="19295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541031</xdr:colOff>
      <xdr:row>133</xdr:row>
      <xdr:rowOff>177800</xdr:rowOff>
    </xdr:from>
    <xdr:ext cx="364379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10−4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=60,000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𝐵𝐴𝐿_4=100,000/10∗(10−4)=60,000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728968</xdr:colOff>
      <xdr:row>245</xdr:row>
      <xdr:rowOff>155019</xdr:rowOff>
    </xdr:from>
    <xdr:ext cx="261868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𝐼𝑁𝑇_7=𝑟∗𝑃𝑉_6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284752</xdr:colOff>
      <xdr:row>247</xdr:row>
      <xdr:rowOff>63897</xdr:rowOff>
    </xdr:from>
    <xdr:ext cx="358684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15,000=1%∗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𝑷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𝑽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𝟔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𝟓𝟎𝟎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15,000=1%∗𝑃𝑉_6→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𝑷𝑽_𝟔=𝟏,𝟓𝟎𝟎,𝟎𝟎𝟎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6</xdr:col>
      <xdr:colOff>527514</xdr:colOff>
      <xdr:row>105</xdr:row>
      <xdr:rowOff>195361</xdr:rowOff>
    </xdr:from>
    <xdr:ext cx="2399582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∗4∗7%=2,800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𝐼𝑁𝑇_7=100,000/10∗4∗7%=2,800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38101</xdr:colOff>
      <xdr:row>103</xdr:row>
      <xdr:rowOff>53975</xdr:rowOff>
    </xdr:from>
    <xdr:ext cx="2830749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(10−3+1)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∗7%=5,600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𝐼𝑁𝑇_3=100,000/10∗</a:t>
              </a:r>
              <a:r>
                <a:rPr lang="he-IL" sz="1100" b="0" i="0">
                  <a:latin typeface="Cambria Math" panose="02040503050406030204" pitchFamily="18" charset="0"/>
                </a:rPr>
                <a:t>(10−3+1)</a:t>
              </a:r>
              <a:r>
                <a:rPr lang="en-US" sz="1100" b="0" i="0">
                  <a:latin typeface="Cambria Math" panose="02040503050406030204" pitchFamily="18" charset="0"/>
                </a:rPr>
                <a:t>∗7%=5,600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304240</xdr:colOff>
      <xdr:row>111</xdr:row>
      <xdr:rowOff>109232</xdr:rowOff>
    </xdr:from>
    <xdr:ext cx="292471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∗3∗7%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0">
                        <a:latin typeface="Cambria Math" panose="02040503050406030204" pitchFamily="18" charset="0"/>
                      </a:rPr>
                      <m:t>=12,100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𝑃𝑀𝑇_8=100,000/10∗3∗7%+100,000/10=12,100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729970</xdr:colOff>
      <xdr:row>104</xdr:row>
      <xdr:rowOff>9793</xdr:rowOff>
    </xdr:from>
    <xdr:to>
      <xdr:col>6</xdr:col>
      <xdr:colOff>38101</xdr:colOff>
      <xdr:row>104</xdr:row>
      <xdr:rowOff>44693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9CAF2ED-9087-41B3-1C53-D37BDD564E24}"/>
            </a:ext>
          </a:extLst>
        </xdr:cNvPr>
        <xdr:cNvCxnSpPr>
          <a:endCxn id="17" idx="3"/>
        </xdr:cNvCxnSpPr>
      </xdr:nvCxnSpPr>
      <xdr:spPr>
        <a:xfrm flipH="1" flipV="1">
          <a:off x="13520000899" y="20088493"/>
          <a:ext cx="1810031" cy="349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752316</xdr:colOff>
      <xdr:row>106</xdr:row>
      <xdr:rowOff>177131</xdr:rowOff>
    </xdr:from>
    <xdr:to>
      <xdr:col>6</xdr:col>
      <xdr:colOff>681789</xdr:colOff>
      <xdr:row>108</xdr:row>
      <xdr:rowOff>48417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3B86FD93-1E80-E46C-006D-784E75F7F4CB}"/>
            </a:ext>
          </a:extLst>
        </xdr:cNvPr>
        <xdr:cNvCxnSpPr/>
      </xdr:nvCxnSpPr>
      <xdr:spPr>
        <a:xfrm flipH="1" flipV="1">
          <a:off x="13519357211" y="20677605"/>
          <a:ext cx="2432710" cy="27902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781333</xdr:colOff>
      <xdr:row>112</xdr:row>
      <xdr:rowOff>178052</xdr:rowOff>
    </xdr:from>
    <xdr:to>
      <xdr:col>9</xdr:col>
      <xdr:colOff>183578</xdr:colOff>
      <xdr:row>113</xdr:row>
      <xdr:rowOff>156040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56CB885E-6DC5-83D0-CD6B-60CC2FB572C7}"/>
            </a:ext>
          </a:extLst>
        </xdr:cNvPr>
        <xdr:cNvSpPr/>
      </xdr:nvSpPr>
      <xdr:spPr>
        <a:xfrm rot="16200000">
          <a:off x="13517821301" y="21459357"/>
          <a:ext cx="168488" cy="10532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107766</xdr:colOff>
      <xdr:row>113</xdr:row>
      <xdr:rowOff>12759</xdr:rowOff>
    </xdr:from>
    <xdr:to>
      <xdr:col>7</xdr:col>
      <xdr:colOff>640905</xdr:colOff>
      <xdr:row>113</xdr:row>
      <xdr:rowOff>170075</xdr:rowOff>
    </xdr:to>
    <xdr:sp macro="" textlink="">
      <xdr:nvSpPr>
        <xdr:cNvPr id="25" name="Left Brace 24">
          <a:extLst>
            <a:ext uri="{FF2B5EF4-FFF2-40B4-BE49-F238E27FC236}">
              <a16:creationId xmlns:a16="http://schemas.microsoft.com/office/drawing/2014/main" id="{5C7B49A2-7891-ED4B-94E7-A13BBFD71C41}"/>
            </a:ext>
          </a:extLst>
        </xdr:cNvPr>
        <xdr:cNvSpPr/>
      </xdr:nvSpPr>
      <xdr:spPr>
        <a:xfrm rot="16200000">
          <a:off x="13518760507" y="21739031"/>
          <a:ext cx="157316" cy="53313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604301</xdr:colOff>
      <xdr:row>152</xdr:row>
      <xdr:rowOff>98626</xdr:rowOff>
    </xdr:from>
    <xdr:ext cx="2298867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(1+(12%)/12)^1−1=(12%)/12=1%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672164</xdr:colOff>
      <xdr:row>155</xdr:row>
      <xdr:rowOff>106641</xdr:rowOff>
    </xdr:from>
    <xdr:to>
      <xdr:col>4</xdr:col>
      <xdr:colOff>100178</xdr:colOff>
      <xdr:row>157</xdr:row>
      <xdr:rowOff>109873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813835C-9021-FB1E-9828-A2AB820191A5}"/>
            </a:ext>
          </a:extLst>
        </xdr:cNvPr>
        <xdr:cNvCxnSpPr/>
      </xdr:nvCxnSpPr>
      <xdr:spPr>
        <a:xfrm flipV="1">
          <a:off x="13497770051" y="25267506"/>
          <a:ext cx="277913" cy="3845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487947</xdr:colOff>
      <xdr:row>45</xdr:row>
      <xdr:rowOff>50800</xdr:rowOff>
    </xdr:from>
    <xdr:ext cx="2388722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−1→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latin typeface="Cambria Math" panose="02040503050406030204" pitchFamily="18" charset="0"/>
                </a:rPr>
                <a:t>𝑅/𝑛)^𝑚−1→(1+(12%)/12)^1−1=1%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461210</xdr:colOff>
      <xdr:row>47</xdr:row>
      <xdr:rowOff>110959</xdr:rowOff>
    </xdr:from>
    <xdr:ext cx="238872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(12%)/12=1%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301625</xdr:colOff>
      <xdr:row>101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695994</xdr:colOff>
      <xdr:row>108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𝑃𝑅𝑁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𝐼𝑁𝑇_𝑡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401888</xdr:colOff>
      <xdr:row>109</xdr:row>
      <xdr:rowOff>109454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𝐿𝑂𝐴𝑁/𝑛∗(𝑛−𝑡+1)∗𝑟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𝐿𝑂𝐴𝑁/𝑛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675447</xdr:colOff>
      <xdr:row>108</xdr:row>
      <xdr:rowOff>197184</xdr:rowOff>
    </xdr:from>
    <xdr:to>
      <xdr:col>7</xdr:col>
      <xdr:colOff>588211</xdr:colOff>
      <xdr:row>109</xdr:row>
      <xdr:rowOff>118602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2CF018A0-8EA0-4C1C-6393-9DCE8406E201}"/>
            </a:ext>
          </a:extLst>
        </xdr:cNvPr>
        <xdr:cNvCxnSpPr/>
      </xdr:nvCxnSpPr>
      <xdr:spPr>
        <a:xfrm flipH="1" flipV="1">
          <a:off x="13518625289" y="21105395"/>
          <a:ext cx="2389264" cy="12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40105</xdr:colOff>
      <xdr:row>194</xdr:row>
      <xdr:rowOff>13369</xdr:rowOff>
    </xdr:from>
    <xdr:to>
      <xdr:col>5</xdr:col>
      <xdr:colOff>43447</xdr:colOff>
      <xdr:row>195</xdr:row>
      <xdr:rowOff>20053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36585BB4-DA25-B448-B590-87AB2A30A4E1}"/>
            </a:ext>
          </a:extLst>
        </xdr:cNvPr>
        <xdr:cNvCxnSpPr/>
      </xdr:nvCxnSpPr>
      <xdr:spPr>
        <a:xfrm flipH="1">
          <a:off x="13520821053" y="37518474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785395</xdr:colOff>
      <xdr:row>193</xdr:row>
      <xdr:rowOff>183816</xdr:rowOff>
    </xdr:from>
    <xdr:to>
      <xdr:col>3</xdr:col>
      <xdr:colOff>788737</xdr:colOff>
      <xdr:row>194</xdr:row>
      <xdr:rowOff>190500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11BB9B38-CC56-2CB7-628D-6A24D7D392A4}"/>
            </a:ext>
          </a:extLst>
        </xdr:cNvPr>
        <xdr:cNvCxnSpPr/>
      </xdr:nvCxnSpPr>
      <xdr:spPr>
        <a:xfrm flipH="1">
          <a:off x="13521753500" y="37498421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651710</xdr:colOff>
      <xdr:row>203</xdr:row>
      <xdr:rowOff>16712</xdr:rowOff>
    </xdr:from>
    <xdr:to>
      <xdr:col>4</xdr:col>
      <xdr:colOff>655052</xdr:colOff>
      <xdr:row>204</xdr:row>
      <xdr:rowOff>23396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FEC903A7-84B8-60A1-714C-9F4CFE36E383}"/>
            </a:ext>
          </a:extLst>
        </xdr:cNvPr>
        <xdr:cNvCxnSpPr/>
      </xdr:nvCxnSpPr>
      <xdr:spPr>
        <a:xfrm flipH="1">
          <a:off x="13521034948" y="39236317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822158</xdr:colOff>
      <xdr:row>202</xdr:row>
      <xdr:rowOff>180476</xdr:rowOff>
    </xdr:from>
    <xdr:to>
      <xdr:col>3</xdr:col>
      <xdr:colOff>253999</xdr:colOff>
      <xdr:row>204</xdr:row>
      <xdr:rowOff>3342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D0D09452-93DA-BD9B-6AFB-8B1013BCD414}"/>
            </a:ext>
          </a:extLst>
        </xdr:cNvPr>
        <xdr:cNvCxnSpPr/>
      </xdr:nvCxnSpPr>
      <xdr:spPr>
        <a:xfrm>
          <a:off x="13522288238" y="39209581"/>
          <a:ext cx="257341" cy="20386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738605</xdr:colOff>
      <xdr:row>234</xdr:row>
      <xdr:rowOff>116974</xdr:rowOff>
    </xdr:from>
    <xdr:to>
      <xdr:col>5</xdr:col>
      <xdr:colOff>741947</xdr:colOff>
      <xdr:row>240</xdr:row>
      <xdr:rowOff>86895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E3D1AAA-C6AD-E7C3-E9D9-7E06D8BDA3E2}"/>
            </a:ext>
          </a:extLst>
        </xdr:cNvPr>
        <xdr:cNvCxnSpPr/>
      </xdr:nvCxnSpPr>
      <xdr:spPr>
        <a:xfrm flipH="1" flipV="1">
          <a:off x="13520122553" y="45629763"/>
          <a:ext cx="3342" cy="119313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779051</xdr:colOff>
      <xdr:row>235</xdr:row>
      <xdr:rowOff>130671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624974</xdr:colOff>
      <xdr:row>261</xdr:row>
      <xdr:rowOff>123658</xdr:rowOff>
    </xdr:from>
    <xdr:to>
      <xdr:col>1</xdr:col>
      <xdr:colOff>798763</xdr:colOff>
      <xdr:row>264</xdr:row>
      <xdr:rowOff>46790</xdr:rowOff>
    </xdr:to>
    <xdr:sp macro="" textlink="">
      <xdr:nvSpPr>
        <xdr:cNvPr id="44" name="Down Arrow 43">
          <a:extLst>
            <a:ext uri="{FF2B5EF4-FFF2-40B4-BE49-F238E27FC236}">
              <a16:creationId xmlns:a16="http://schemas.microsoft.com/office/drawing/2014/main" id="{8B6AD733-0F57-FDA5-E21C-590CA7D283C0}"/>
            </a:ext>
          </a:extLst>
        </xdr:cNvPr>
        <xdr:cNvSpPr/>
      </xdr:nvSpPr>
      <xdr:spPr>
        <a:xfrm>
          <a:off x="13523394474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123658</xdr:colOff>
      <xdr:row>261</xdr:row>
      <xdr:rowOff>93579</xdr:rowOff>
    </xdr:from>
    <xdr:to>
      <xdr:col>3</xdr:col>
      <xdr:colOff>297447</xdr:colOff>
      <xdr:row>264</xdr:row>
      <xdr:rowOff>16711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3E5D3B3C-B985-2755-329F-C58136F22838}"/>
            </a:ext>
          </a:extLst>
        </xdr:cNvPr>
        <xdr:cNvSpPr/>
      </xdr:nvSpPr>
      <xdr:spPr>
        <a:xfrm>
          <a:off x="13522244790" y="50870184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558132</xdr:colOff>
      <xdr:row>261</xdr:row>
      <xdr:rowOff>123658</xdr:rowOff>
    </xdr:from>
    <xdr:to>
      <xdr:col>4</xdr:col>
      <xdr:colOff>731921</xdr:colOff>
      <xdr:row>264</xdr:row>
      <xdr:rowOff>46790</xdr:rowOff>
    </xdr:to>
    <xdr:sp macro="" textlink="">
      <xdr:nvSpPr>
        <xdr:cNvPr id="46" name="Down Arrow 45">
          <a:extLst>
            <a:ext uri="{FF2B5EF4-FFF2-40B4-BE49-F238E27FC236}">
              <a16:creationId xmlns:a16="http://schemas.microsoft.com/office/drawing/2014/main" id="{4B4F96E5-6A3D-4150-96C7-FCDEED5ABB5A}"/>
            </a:ext>
          </a:extLst>
        </xdr:cNvPr>
        <xdr:cNvSpPr/>
      </xdr:nvSpPr>
      <xdr:spPr>
        <a:xfrm>
          <a:off x="13520958079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762000</xdr:colOff>
      <xdr:row>100</xdr:row>
      <xdr:rowOff>135467</xdr:rowOff>
    </xdr:from>
    <xdr:to>
      <xdr:col>8</xdr:col>
      <xdr:colOff>46567</xdr:colOff>
      <xdr:row>101</xdr:row>
      <xdr:rowOff>169334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B730FE26-8E90-6984-D673-9D93F26E3966}"/>
            </a:ext>
          </a:extLst>
        </xdr:cNvPr>
        <xdr:cNvCxnSpPr/>
      </xdr:nvCxnSpPr>
      <xdr:spPr>
        <a:xfrm flipH="1" flipV="1">
          <a:off x="13518341433" y="19401367"/>
          <a:ext cx="110067" cy="237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448733</xdr:colOff>
      <xdr:row>100</xdr:row>
      <xdr:rowOff>198967</xdr:rowOff>
    </xdr:from>
    <xdr:to>
      <xdr:col>7</xdr:col>
      <xdr:colOff>529167</xdr:colOff>
      <xdr:row>102</xdr:row>
      <xdr:rowOff>4234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C5A3F42-7C20-8965-A34C-EACA34F86576}"/>
            </a:ext>
          </a:extLst>
        </xdr:cNvPr>
        <xdr:cNvCxnSpPr/>
      </xdr:nvCxnSpPr>
      <xdr:spPr>
        <a:xfrm flipV="1">
          <a:off x="13518684333" y="19464867"/>
          <a:ext cx="80434" cy="2116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495300</xdr:colOff>
      <xdr:row>100</xdr:row>
      <xdr:rowOff>25400</xdr:rowOff>
    </xdr:from>
    <xdr:to>
      <xdr:col>7</xdr:col>
      <xdr:colOff>237067</xdr:colOff>
      <xdr:row>101</xdr:row>
      <xdr:rowOff>186267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1A20A352-EA0E-C446-DF07-CD874E9B694B}"/>
            </a:ext>
          </a:extLst>
        </xdr:cNvPr>
        <xdr:cNvCxnSpPr/>
      </xdr:nvCxnSpPr>
      <xdr:spPr>
        <a:xfrm flipV="1">
          <a:off x="13518976433" y="19291300"/>
          <a:ext cx="567267" cy="364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73972</xdr:colOff>
      <xdr:row>241</xdr:row>
      <xdr:rowOff>108062</xdr:rowOff>
    </xdr:from>
    <xdr:to>
      <xdr:col>2</xdr:col>
      <xdr:colOff>766234</xdr:colOff>
      <xdr:row>241</xdr:row>
      <xdr:rowOff>118534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9CD3A38-29A7-9612-4253-11890C831C83}"/>
            </a:ext>
          </a:extLst>
        </xdr:cNvPr>
        <xdr:cNvCxnSpPr/>
      </xdr:nvCxnSpPr>
      <xdr:spPr>
        <a:xfrm flipH="1">
          <a:off x="13522600166" y="47009162"/>
          <a:ext cx="692262" cy="1047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3232</xdr:colOff>
      <xdr:row>241</xdr:row>
      <xdr:rowOff>1728</xdr:rowOff>
    </xdr:from>
    <xdr:ext cx="759885" cy="125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B2D9276A-544D-5DE7-3B43-EC235F2E8E34}"/>
                </a:ext>
              </a:extLst>
            </xdr:cNvPr>
            <xdr:cNvSpPr txBox="1"/>
          </xdr:nvSpPr>
          <xdr:spPr>
            <a:xfrm>
              <a:off x="13522603283" y="46902828"/>
              <a:ext cx="759885" cy="125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latin typeface="Cambria Math" panose="02040503050406030204" pitchFamily="18" charset="0"/>
                      </a:rPr>
                      <m:t>1%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B2D9276A-544D-5DE7-3B43-EC235F2E8E34}"/>
                </a:ext>
              </a:extLst>
            </xdr:cNvPr>
            <xdr:cNvSpPr txBox="1"/>
          </xdr:nvSpPr>
          <xdr:spPr>
            <a:xfrm>
              <a:off x="13522603283" y="46902828"/>
              <a:ext cx="759885" cy="125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latin typeface="Cambria Math" panose="02040503050406030204" pitchFamily="18" charset="0"/>
                </a:rPr>
                <a:t>1%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0</xdr:col>
      <xdr:colOff>783167</xdr:colOff>
      <xdr:row>241</xdr:row>
      <xdr:rowOff>16933</xdr:rowOff>
    </xdr:from>
    <xdr:to>
      <xdr:col>1</xdr:col>
      <xdr:colOff>118533</xdr:colOff>
      <xdr:row>241</xdr:row>
      <xdr:rowOff>182033</xdr:rowOff>
    </xdr:to>
    <xdr:sp macro="" textlink="">
      <xdr:nvSpPr>
        <xdr:cNvPr id="52" name="Oval 51">
          <a:extLst>
            <a:ext uri="{FF2B5EF4-FFF2-40B4-BE49-F238E27FC236}">
              <a16:creationId xmlns:a16="http://schemas.microsoft.com/office/drawing/2014/main" id="{4C6DB9C0-9DBB-E2A5-C173-83A480715361}"/>
            </a:ext>
          </a:extLst>
        </xdr:cNvPr>
        <xdr:cNvSpPr/>
      </xdr:nvSpPr>
      <xdr:spPr>
        <a:xfrm>
          <a:off x="13524073367" y="46918033"/>
          <a:ext cx="160866" cy="16510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1</xdr:col>
      <xdr:colOff>440267</xdr:colOff>
      <xdr:row>242</xdr:row>
      <xdr:rowOff>21167</xdr:rowOff>
    </xdr:from>
    <xdr:to>
      <xdr:col>1</xdr:col>
      <xdr:colOff>440267</xdr:colOff>
      <xdr:row>243</xdr:row>
      <xdr:rowOff>12700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2321BF5F-0802-C6EB-6994-4A67DAEB6379}"/>
            </a:ext>
          </a:extLst>
        </xdr:cNvPr>
        <xdr:cNvCxnSpPr/>
      </xdr:nvCxnSpPr>
      <xdr:spPr>
        <a:xfrm>
          <a:off x="13523751633" y="47125467"/>
          <a:ext cx="0" cy="182033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448733</xdr:colOff>
      <xdr:row>242</xdr:row>
      <xdr:rowOff>177800</xdr:rowOff>
    </xdr:from>
    <xdr:to>
      <xdr:col>6</xdr:col>
      <xdr:colOff>220133</xdr:colOff>
      <xdr:row>243</xdr:row>
      <xdr:rowOff>8467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E8C94C85-97E7-57B7-C265-E27DCC7D4B67}"/>
            </a:ext>
          </a:extLst>
        </xdr:cNvPr>
        <xdr:cNvCxnSpPr/>
      </xdr:nvCxnSpPr>
      <xdr:spPr>
        <a:xfrm flipH="1" flipV="1">
          <a:off x="13519818867" y="47282100"/>
          <a:ext cx="3924300" cy="21167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215900</xdr:colOff>
      <xdr:row>240</xdr:row>
      <xdr:rowOff>105833</xdr:rowOff>
    </xdr:from>
    <xdr:to>
      <xdr:col>6</xdr:col>
      <xdr:colOff>220134</xdr:colOff>
      <xdr:row>242</xdr:row>
      <xdr:rowOff>182033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B5C0879A-DEDD-6A68-BAC4-5038001678EC}"/>
            </a:ext>
          </a:extLst>
        </xdr:cNvPr>
        <xdr:cNvCxnSpPr/>
      </xdr:nvCxnSpPr>
      <xdr:spPr>
        <a:xfrm flipH="1">
          <a:off x="13519818866" y="46803733"/>
          <a:ext cx="4234" cy="482600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812800</xdr:colOff>
      <xdr:row>240</xdr:row>
      <xdr:rowOff>105833</xdr:rowOff>
    </xdr:from>
    <xdr:to>
      <xdr:col>6</xdr:col>
      <xdr:colOff>220133</xdr:colOff>
      <xdr:row>240</xdr:row>
      <xdr:rowOff>114300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2E141E9-2ECE-E154-58B2-0F8B8D6FB408}"/>
            </a:ext>
          </a:extLst>
        </xdr:cNvPr>
        <xdr:cNvCxnSpPr/>
      </xdr:nvCxnSpPr>
      <xdr:spPr>
        <a:xfrm>
          <a:off x="13519818867" y="46803733"/>
          <a:ext cx="232833" cy="8467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160984</xdr:colOff>
      <xdr:row>235</xdr:row>
      <xdr:rowOff>126438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5947102-3514-0283-BBA7-4CB25F346853}"/>
                </a:ext>
              </a:extLst>
            </xdr:cNvPr>
            <xdr:cNvSpPr txBox="1"/>
          </xdr:nvSpPr>
          <xdr:spPr>
            <a:xfrm rot="16200000">
              <a:off x="13519418029" y="46096098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5947102-3514-0283-BBA7-4CB25F346853}"/>
                </a:ext>
              </a:extLst>
            </xdr:cNvPr>
            <xdr:cNvSpPr txBox="1"/>
          </xdr:nvSpPr>
          <xdr:spPr>
            <a:xfrm rot="16200000">
              <a:off x="13519418029" y="46096098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516467</xdr:colOff>
      <xdr:row>237</xdr:row>
      <xdr:rowOff>29632</xdr:rowOff>
    </xdr:from>
    <xdr:to>
      <xdr:col>5</xdr:col>
      <xdr:colOff>677333</xdr:colOff>
      <xdr:row>237</xdr:row>
      <xdr:rowOff>194732</xdr:rowOff>
    </xdr:to>
    <xdr:sp macro="" textlink="">
      <xdr:nvSpPr>
        <xdr:cNvPr id="65" name="Oval 64">
          <a:extLst>
            <a:ext uri="{FF2B5EF4-FFF2-40B4-BE49-F238E27FC236}">
              <a16:creationId xmlns:a16="http://schemas.microsoft.com/office/drawing/2014/main" id="{522F3958-3B01-7DF5-59BD-20875AECEF6B}"/>
            </a:ext>
          </a:extLst>
        </xdr:cNvPr>
        <xdr:cNvSpPr/>
      </xdr:nvSpPr>
      <xdr:spPr>
        <a:xfrm>
          <a:off x="13520187167" y="46117932"/>
          <a:ext cx="160866" cy="16510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oneCellAnchor>
    <xdr:from>
      <xdr:col>6</xdr:col>
      <xdr:colOff>414984</xdr:colOff>
      <xdr:row>235</xdr:row>
      <xdr:rowOff>134905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B130F2D4-8E4D-64C1-D8D5-4EEF9D453FDC}"/>
                </a:ext>
              </a:extLst>
            </xdr:cNvPr>
            <xdr:cNvSpPr txBox="1"/>
          </xdr:nvSpPr>
          <xdr:spPr>
            <a:xfrm rot="16200000">
              <a:off x="13519164029" y="46104565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B130F2D4-8E4D-64C1-D8D5-4EEF9D453FDC}"/>
                </a:ext>
              </a:extLst>
            </xdr:cNvPr>
            <xdr:cNvSpPr txBox="1"/>
          </xdr:nvSpPr>
          <xdr:spPr>
            <a:xfrm rot="16200000">
              <a:off x="13519164029" y="46104565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49893</xdr:colOff>
      <xdr:row>270</xdr:row>
      <xdr:rowOff>117928</xdr:rowOff>
    </xdr:from>
    <xdr:to>
      <xdr:col>3</xdr:col>
      <xdr:colOff>90714</xdr:colOff>
      <xdr:row>271</xdr:row>
      <xdr:rowOff>22678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1B917254-09B0-80F7-5F64-FF90A5C6915D}"/>
            </a:ext>
          </a:extLst>
        </xdr:cNvPr>
        <xdr:cNvCxnSpPr/>
      </xdr:nvCxnSpPr>
      <xdr:spPr>
        <a:xfrm>
          <a:off x="13522452000" y="52623357"/>
          <a:ext cx="40821" cy="952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793750</xdr:colOff>
      <xdr:row>269</xdr:row>
      <xdr:rowOff>181428</xdr:rowOff>
    </xdr:from>
    <xdr:to>
      <xdr:col>3</xdr:col>
      <xdr:colOff>49893</xdr:colOff>
      <xdr:row>271</xdr:row>
      <xdr:rowOff>31750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99042BDA-F0D6-7684-2F18-04C047DF45BB}"/>
            </a:ext>
          </a:extLst>
        </xdr:cNvPr>
        <xdr:cNvCxnSpPr/>
      </xdr:nvCxnSpPr>
      <xdr:spPr>
        <a:xfrm flipH="1">
          <a:off x="13522492821" y="52496357"/>
          <a:ext cx="81643" cy="2313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390072</xdr:colOff>
      <xdr:row>270</xdr:row>
      <xdr:rowOff>140607</xdr:rowOff>
    </xdr:from>
    <xdr:to>
      <xdr:col>3</xdr:col>
      <xdr:colOff>430893</xdr:colOff>
      <xdr:row>271</xdr:row>
      <xdr:rowOff>45357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FB846B89-C332-21C8-1370-06501D28DF7B}"/>
            </a:ext>
          </a:extLst>
        </xdr:cNvPr>
        <xdr:cNvCxnSpPr/>
      </xdr:nvCxnSpPr>
      <xdr:spPr>
        <a:xfrm>
          <a:off x="13522111821" y="52646036"/>
          <a:ext cx="40821" cy="952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308429</xdr:colOff>
      <xdr:row>270</xdr:row>
      <xdr:rowOff>13607</xdr:rowOff>
    </xdr:from>
    <xdr:to>
      <xdr:col>3</xdr:col>
      <xdr:colOff>390072</xdr:colOff>
      <xdr:row>271</xdr:row>
      <xdr:rowOff>54429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C725199C-6552-D23C-BFD5-4AD85A63AEC5}"/>
            </a:ext>
          </a:extLst>
        </xdr:cNvPr>
        <xdr:cNvCxnSpPr/>
      </xdr:nvCxnSpPr>
      <xdr:spPr>
        <a:xfrm flipH="1">
          <a:off x="13522152642" y="52519036"/>
          <a:ext cx="81643" cy="2313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680356</xdr:colOff>
      <xdr:row>270</xdr:row>
      <xdr:rowOff>0</xdr:rowOff>
    </xdr:from>
    <xdr:to>
      <xdr:col>3</xdr:col>
      <xdr:colOff>746482</xdr:colOff>
      <xdr:row>271</xdr:row>
      <xdr:rowOff>98354</xdr:rowOff>
    </xdr:to>
    <xdr:sp macro="" textlink="">
      <xdr:nvSpPr>
        <xdr:cNvPr id="73" name="Down Arrow 72">
          <a:extLst>
            <a:ext uri="{FF2B5EF4-FFF2-40B4-BE49-F238E27FC236}">
              <a16:creationId xmlns:a16="http://schemas.microsoft.com/office/drawing/2014/main" id="{429CE22E-62B6-2FD9-FAF5-CAB3BA5961E1}"/>
            </a:ext>
          </a:extLst>
        </xdr:cNvPr>
        <xdr:cNvSpPr/>
      </xdr:nvSpPr>
      <xdr:spPr>
        <a:xfrm>
          <a:off x="13521796232" y="52505429"/>
          <a:ext cx="66126" cy="288854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11581</xdr:colOff>
      <xdr:row>287</xdr:row>
      <xdr:rowOff>119897</xdr:rowOff>
    </xdr:from>
    <xdr:ext cx="1479669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B4F05B7D-4AA6-DD88-7840-04F3FF98E5F5}"/>
                </a:ext>
              </a:extLst>
            </xdr:cNvPr>
            <xdr:cNvSpPr txBox="1"/>
          </xdr:nvSpPr>
          <xdr:spPr>
            <a:xfrm>
              <a:off x="13529683218" y="55590718"/>
              <a:ext cx="1479669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1+12%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B4F05B7D-4AA6-DD88-7840-04F3FF98E5F5}"/>
                </a:ext>
              </a:extLst>
            </xdr:cNvPr>
            <xdr:cNvSpPr txBox="1"/>
          </xdr:nvSpPr>
          <xdr:spPr>
            <a:xfrm>
              <a:off x="13529683218" y="55590718"/>
              <a:ext cx="1479669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(1+12%)^(1/4)−1=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11581</xdr:colOff>
      <xdr:row>291</xdr:row>
      <xdr:rowOff>111431</xdr:rowOff>
    </xdr:from>
    <xdr:ext cx="147966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FE83DED6-C991-C274-5A35-D73514BC0475}"/>
                </a:ext>
              </a:extLst>
            </xdr:cNvPr>
            <xdr:cNvSpPr txBox="1"/>
          </xdr:nvSpPr>
          <xdr:spPr>
            <a:xfrm>
              <a:off x="13520198750" y="56562931"/>
              <a:ext cx="14796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5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FE83DED6-C991-C274-5A35-D73514BC0475}"/>
                </a:ext>
              </a:extLst>
            </xdr:cNvPr>
            <xdr:cNvSpPr txBox="1"/>
          </xdr:nvSpPr>
          <xdr:spPr>
            <a:xfrm>
              <a:off x="13520198750" y="56562931"/>
              <a:ext cx="14796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𝐼𝑁𝑇_6=𝐵𝐴𝐿_5∗𝑟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76200</xdr:colOff>
      <xdr:row>292</xdr:row>
      <xdr:rowOff>174931</xdr:rowOff>
    </xdr:from>
    <xdr:ext cx="227018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AEEAE77-AC0A-84DF-B03B-9CED0FDBBCEC}"/>
                </a:ext>
              </a:extLst>
            </xdr:cNvPr>
            <xdr:cNvSpPr txBox="1"/>
          </xdr:nvSpPr>
          <xdr:spPr>
            <a:xfrm>
              <a:off x="13520194516" y="56816931"/>
              <a:ext cx="227018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8,000=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5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∗2.873734%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AEEAE77-AC0A-84DF-B03B-9CED0FDBBCEC}"/>
                </a:ext>
              </a:extLst>
            </xdr:cNvPr>
            <xdr:cNvSpPr txBox="1"/>
          </xdr:nvSpPr>
          <xdr:spPr>
            <a:xfrm>
              <a:off x="13520194516" y="56816931"/>
              <a:ext cx="227018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8,000=𝐵𝐴𝐿_5∗2.873734%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660400</xdr:colOff>
      <xdr:row>295</xdr:row>
      <xdr:rowOff>26764</xdr:rowOff>
    </xdr:from>
    <xdr:ext cx="12711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1757644-DEA1-6A0F-E59F-9E5EC8860B8A}"/>
                </a:ext>
              </a:extLst>
            </xdr:cNvPr>
            <xdr:cNvSpPr txBox="1"/>
          </xdr:nvSpPr>
          <xdr:spPr>
            <a:xfrm>
              <a:off x="13520609383" y="57240264"/>
              <a:ext cx="12711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5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1757644-DEA1-6A0F-E59F-9E5EC8860B8A}"/>
                </a:ext>
              </a:extLst>
            </xdr:cNvPr>
            <xdr:cNvSpPr txBox="1"/>
          </xdr:nvSpPr>
          <xdr:spPr>
            <a:xfrm>
              <a:off x="13520609383" y="57240264"/>
              <a:ext cx="12711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𝐵𝐴𝐿_5=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465667</xdr:colOff>
      <xdr:row>19</xdr:row>
      <xdr:rowOff>12699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309813</xdr:colOff>
      <xdr:row>43</xdr:row>
      <xdr:rowOff>77656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195735</xdr:colOff>
      <xdr:row>132</xdr:row>
      <xdr:rowOff>91040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172133</xdr:colOff>
      <xdr:row>134</xdr:row>
      <xdr:rowOff>91688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</a:t>
              </a:r>
              <a:r>
                <a:rPr lang="he-IL" sz="1100" b="0" i="0">
                  <a:latin typeface="Cambria Math" panose="02040503050406030204" pitchFamily="18" charset="0"/>
                </a:rPr>
                <a:t>6%)</a:t>
              </a:r>
              <a:r>
                <a:rPr lang="en-US" sz="1100" b="0" i="0">
                  <a:latin typeface="Cambria Math" panose="02040503050406030204" pitchFamily="18" charset="0"/>
                </a:rPr>
                <a:t>=(1+</a:t>
              </a:r>
              <a:r>
                <a:rPr lang="he-IL" sz="1100" b="0" i="0">
                  <a:latin typeface="Cambria Math" panose="02040503050406030204" pitchFamily="18" charset="0"/>
                </a:rPr>
                <a:t>2%)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200287</xdr:colOff>
      <xdr:row>135</xdr:row>
      <xdr:rowOff>182079</xdr:rowOff>
    </xdr:from>
    <xdr:ext cx="208080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1.06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−1=3.92%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=1.06/1.02−1=3.92%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138267</xdr:colOff>
      <xdr:row>270</xdr:row>
      <xdr:rowOff>26732</xdr:rowOff>
    </xdr:from>
    <xdr:ext cx="1932874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=</m:t>
                        </m:r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𝑅/𝑛)〗^𝑚−1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78113</xdr:colOff>
      <xdr:row>275</xdr:row>
      <xdr:rowOff>21853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 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312972</xdr:colOff>
      <xdr:row>276</xdr:row>
      <xdr:rowOff>110532</xdr:rowOff>
    </xdr:from>
    <xdr:ext cx="261850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−0.12972%)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168062</xdr:colOff>
      <xdr:row>278</xdr:row>
      <xdr:rowOff>2992</xdr:rowOff>
    </xdr:from>
    <xdr:ext cx="275676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r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−0.12972%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r_𝑛=(1+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−0.12972%)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6350</xdr:colOff>
      <xdr:row>127</xdr:row>
      <xdr:rowOff>127000</xdr:rowOff>
    </xdr:from>
    <xdr:to>
      <xdr:col>6</xdr:col>
      <xdr:colOff>193675</xdr:colOff>
      <xdr:row>131</xdr:row>
      <xdr:rowOff>155575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DBA16CE7-C7A2-CD9B-B17A-4665EA9CE703}"/>
            </a:ext>
          </a:extLst>
        </xdr:cNvPr>
        <xdr:cNvSpPr/>
      </xdr:nvSpPr>
      <xdr:spPr>
        <a:xfrm>
          <a:off x="13519845325" y="20027900"/>
          <a:ext cx="1012825" cy="790575"/>
        </a:xfrm>
        <a:prstGeom prst="wedgeRoundRectCallout">
          <a:avLst>
            <a:gd name="adj1" fmla="val 46565"/>
            <a:gd name="adj2" fmla="val 6651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נומינלית, הריבית הכוללת במסלול ללא הצמדה</a:t>
          </a:r>
          <a:endParaRPr lang="en-US" sz="800"/>
        </a:p>
      </xdr:txBody>
    </xdr:sp>
    <xdr:clientData/>
  </xdr:twoCellAnchor>
  <xdr:twoCellAnchor>
    <xdr:from>
      <xdr:col>3</xdr:col>
      <xdr:colOff>565150</xdr:colOff>
      <xdr:row>127</xdr:row>
      <xdr:rowOff>130175</xdr:rowOff>
    </xdr:from>
    <xdr:to>
      <xdr:col>4</xdr:col>
      <xdr:colOff>752475</xdr:colOff>
      <xdr:row>131</xdr:row>
      <xdr:rowOff>158750</xdr:rowOff>
    </xdr:to>
    <xdr:sp macro="" textlink="">
      <xdr:nvSpPr>
        <xdr:cNvPr id="17" name="Rounded Rectangular Callout 16">
          <a:extLst>
            <a:ext uri="{FF2B5EF4-FFF2-40B4-BE49-F238E27FC236}">
              <a16:creationId xmlns:a16="http://schemas.microsoft.com/office/drawing/2014/main" id="{30CF167C-E269-2C17-D0E8-24996B0D8381}"/>
            </a:ext>
          </a:extLst>
        </xdr:cNvPr>
        <xdr:cNvSpPr/>
      </xdr:nvSpPr>
      <xdr:spPr>
        <a:xfrm>
          <a:off x="13520988325" y="20031075"/>
          <a:ext cx="1012825" cy="790575"/>
        </a:xfrm>
        <a:prstGeom prst="wedgeRoundRectCallout">
          <a:avLst>
            <a:gd name="adj1" fmla="val -6727"/>
            <a:gd name="adj2" fmla="val 6812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ריאלית, הריבית הצמודה במסלול הצמוד</a:t>
          </a:r>
          <a:endParaRPr lang="en-US" sz="800"/>
        </a:p>
      </xdr:txBody>
    </xdr:sp>
    <xdr:clientData/>
  </xdr:twoCellAnchor>
  <xdr:twoCellAnchor>
    <xdr:from>
      <xdr:col>2</xdr:col>
      <xdr:colOff>241300</xdr:colOff>
      <xdr:row>129</xdr:row>
      <xdr:rowOff>152400</xdr:rowOff>
    </xdr:from>
    <xdr:to>
      <xdr:col>3</xdr:col>
      <xdr:colOff>428625</xdr:colOff>
      <xdr:row>131</xdr:row>
      <xdr:rowOff>120650</xdr:rowOff>
    </xdr:to>
    <xdr:sp macro="" textlink="">
      <xdr:nvSpPr>
        <xdr:cNvPr id="18" name="Rounded Rectangular Callout 17">
          <a:extLst>
            <a:ext uri="{FF2B5EF4-FFF2-40B4-BE49-F238E27FC236}">
              <a16:creationId xmlns:a16="http://schemas.microsoft.com/office/drawing/2014/main" id="{9165865F-1EDF-572D-F9BB-B67F61FDF8EB}"/>
            </a:ext>
          </a:extLst>
        </xdr:cNvPr>
        <xdr:cNvSpPr/>
      </xdr:nvSpPr>
      <xdr:spPr>
        <a:xfrm>
          <a:off x="13522137675" y="20434300"/>
          <a:ext cx="1012825" cy="349250"/>
        </a:xfrm>
        <a:prstGeom prst="wedgeRoundRectCallout">
          <a:avLst>
            <a:gd name="adj1" fmla="val -55003"/>
            <a:gd name="adj2" fmla="val 10334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האינפלציה הצפויה</a:t>
          </a:r>
          <a:endParaRPr lang="en-US" sz="800"/>
        </a:p>
      </xdr:txBody>
    </xdr:sp>
    <xdr:clientData/>
  </xdr:twoCellAnchor>
  <xdr:twoCellAnchor>
    <xdr:from>
      <xdr:col>5</xdr:col>
      <xdr:colOff>47625</xdr:colOff>
      <xdr:row>133</xdr:row>
      <xdr:rowOff>82550</xdr:rowOff>
    </xdr:from>
    <xdr:to>
      <xdr:col>5</xdr:col>
      <xdr:colOff>50800</xdr:colOff>
      <xdr:row>134</xdr:row>
      <xdr:rowOff>120650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A50D616-FCD2-21F2-8BE4-680F97851777}"/>
            </a:ext>
          </a:extLst>
        </xdr:cNvPr>
        <xdr:cNvCxnSpPr/>
      </xdr:nvCxnSpPr>
      <xdr:spPr>
        <a:xfrm>
          <a:off x="13520813700" y="21126450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225425</xdr:colOff>
      <xdr:row>133</xdr:row>
      <xdr:rowOff>85725</xdr:rowOff>
    </xdr:from>
    <xdr:to>
      <xdr:col>4</xdr:col>
      <xdr:colOff>228600</xdr:colOff>
      <xdr:row>134</xdr:row>
      <xdr:rowOff>123825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3A4B864-C002-09BC-87A8-0E4E5886B362}"/>
            </a:ext>
          </a:extLst>
        </xdr:cNvPr>
        <xdr:cNvCxnSpPr/>
      </xdr:nvCxnSpPr>
      <xdr:spPr>
        <a:xfrm>
          <a:off x="13521512200" y="21129625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396875</xdr:colOff>
      <xdr:row>133</xdr:row>
      <xdr:rowOff>79375</xdr:rowOff>
    </xdr:from>
    <xdr:to>
      <xdr:col>3</xdr:col>
      <xdr:colOff>485775</xdr:colOff>
      <xdr:row>134</xdr:row>
      <xdr:rowOff>133350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96ED0C9-D70B-E0E5-7839-4C7D468EAEFF}"/>
            </a:ext>
          </a:extLst>
        </xdr:cNvPr>
        <xdr:cNvCxnSpPr/>
      </xdr:nvCxnSpPr>
      <xdr:spPr>
        <a:xfrm>
          <a:off x="13522080525" y="21123275"/>
          <a:ext cx="88900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501642</xdr:colOff>
      <xdr:row>160</xdr:row>
      <xdr:rowOff>120148</xdr:rowOff>
    </xdr:from>
    <xdr:to>
      <xdr:col>9</xdr:col>
      <xdr:colOff>87730</xdr:colOff>
      <xdr:row>168</xdr:row>
      <xdr:rowOff>81071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5B01867-E214-7F12-C026-38142D545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4838257" y="31030444"/>
          <a:ext cx="1240430" cy="1498291"/>
        </a:xfrm>
        <a:prstGeom prst="rect">
          <a:avLst/>
        </a:prstGeom>
      </xdr:spPr>
    </xdr:pic>
    <xdr:clientData/>
  </xdr:twoCellAnchor>
  <xdr:twoCellAnchor>
    <xdr:from>
      <xdr:col>7</xdr:col>
      <xdr:colOff>792786</xdr:colOff>
      <xdr:row>162</xdr:row>
      <xdr:rowOff>93772</xdr:rowOff>
    </xdr:from>
    <xdr:to>
      <xdr:col>8</xdr:col>
      <xdr:colOff>123144</xdr:colOff>
      <xdr:row>163</xdr:row>
      <xdr:rowOff>62022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901E629E-4C29-AF8E-3C90-082EF63F47E4}"/>
            </a:ext>
          </a:extLst>
        </xdr:cNvPr>
        <xdr:cNvSpPr/>
      </xdr:nvSpPr>
      <xdr:spPr>
        <a:xfrm>
          <a:off x="13545630014" y="31388410"/>
          <a:ext cx="157529" cy="16042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216440</xdr:colOff>
      <xdr:row>162</xdr:row>
      <xdr:rowOff>90353</xdr:rowOff>
    </xdr:from>
    <xdr:to>
      <xdr:col>8</xdr:col>
      <xdr:colOff>372709</xdr:colOff>
      <xdr:row>163</xdr:row>
      <xdr:rowOff>31043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53B7796-EF80-016A-12FC-5A0531FE10CF}"/>
            </a:ext>
          </a:extLst>
        </xdr:cNvPr>
        <xdr:cNvSpPr/>
      </xdr:nvSpPr>
      <xdr:spPr>
        <a:xfrm>
          <a:off x="13545380449" y="31384991"/>
          <a:ext cx="156269" cy="1328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82845</xdr:colOff>
      <xdr:row>162</xdr:row>
      <xdr:rowOff>135291</xdr:rowOff>
    </xdr:from>
    <xdr:to>
      <xdr:col>8</xdr:col>
      <xdr:colOff>243305</xdr:colOff>
      <xdr:row>162</xdr:row>
      <xdr:rowOff>189022</xdr:rowOff>
    </xdr:to>
    <xdr:sp macro="" textlink="">
      <xdr:nvSpPr>
        <xdr:cNvPr id="27" name="Rounded Rectangle 26">
          <a:extLst>
            <a:ext uri="{FF2B5EF4-FFF2-40B4-BE49-F238E27FC236}">
              <a16:creationId xmlns:a16="http://schemas.microsoft.com/office/drawing/2014/main" id="{CB0A9097-3F30-C0D4-05B1-79C08C629B74}"/>
            </a:ext>
          </a:extLst>
        </xdr:cNvPr>
        <xdr:cNvSpPr/>
      </xdr:nvSpPr>
      <xdr:spPr>
        <a:xfrm>
          <a:off x="13545509853" y="31429929"/>
          <a:ext cx="160460" cy="5373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589586</xdr:colOff>
      <xdr:row>162</xdr:row>
      <xdr:rowOff>161668</xdr:rowOff>
    </xdr:from>
    <xdr:to>
      <xdr:col>9</xdr:col>
      <xdr:colOff>83090</xdr:colOff>
      <xdr:row>165</xdr:row>
      <xdr:rowOff>85468</xdr:rowOff>
    </xdr:to>
    <xdr:sp macro="" textlink="">
      <xdr:nvSpPr>
        <xdr:cNvPr id="28" name="Lightning Bolt 27">
          <a:extLst>
            <a:ext uri="{FF2B5EF4-FFF2-40B4-BE49-F238E27FC236}">
              <a16:creationId xmlns:a16="http://schemas.microsoft.com/office/drawing/2014/main" id="{F6B57E77-6011-0426-80AA-5DFACCD8C83C}"/>
            </a:ext>
          </a:extLst>
        </xdr:cNvPr>
        <xdr:cNvSpPr/>
      </xdr:nvSpPr>
      <xdr:spPr>
        <a:xfrm>
          <a:off x="13544842897" y="31456306"/>
          <a:ext cx="320675" cy="500313"/>
        </a:xfrm>
        <a:prstGeom prst="lightningBol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398701</xdr:colOff>
      <xdr:row>183</xdr:row>
      <xdr:rowOff>68675</xdr:rowOff>
    </xdr:from>
    <xdr:to>
      <xdr:col>8</xdr:col>
      <xdr:colOff>577589</xdr:colOff>
      <xdr:row>186</xdr:row>
      <xdr:rowOff>66109</xdr:rowOff>
    </xdr:to>
    <xdr:sp macro="" textlink="">
      <xdr:nvSpPr>
        <xdr:cNvPr id="29" name="Rounded Rectangular Callout 28">
          <a:extLst>
            <a:ext uri="{FF2B5EF4-FFF2-40B4-BE49-F238E27FC236}">
              <a16:creationId xmlns:a16="http://schemas.microsoft.com/office/drawing/2014/main" id="{E504CC1E-B2B6-4063-A589-D80120B89F8D}"/>
            </a:ext>
          </a:extLst>
        </xdr:cNvPr>
        <xdr:cNvSpPr/>
      </xdr:nvSpPr>
      <xdr:spPr>
        <a:xfrm>
          <a:off x="13503565534" y="33367031"/>
          <a:ext cx="1003518" cy="571544"/>
        </a:xfrm>
        <a:prstGeom prst="wedgeRoundRectCallout">
          <a:avLst>
            <a:gd name="adj1" fmla="val 21387"/>
            <a:gd name="adj2" fmla="val -6439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החזר בסיסי/ריאלי/ לפני הצמדה</a:t>
          </a:r>
          <a:endParaRPr lang="en-US" sz="900"/>
        </a:p>
      </xdr:txBody>
    </xdr:sp>
    <xdr:clientData/>
  </xdr:twoCellAnchor>
  <xdr:twoCellAnchor>
    <xdr:from>
      <xdr:col>5</xdr:col>
      <xdr:colOff>53731</xdr:colOff>
      <xdr:row>183</xdr:row>
      <xdr:rowOff>86202</xdr:rowOff>
    </xdr:from>
    <xdr:to>
      <xdr:col>7</xdr:col>
      <xdr:colOff>271396</xdr:colOff>
      <xdr:row>185</xdr:row>
      <xdr:rowOff>180731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D2D27AF4-C6CA-4FE7-E7AC-07C71AC0E884}"/>
            </a:ext>
          </a:extLst>
        </xdr:cNvPr>
        <xdr:cNvSpPr/>
      </xdr:nvSpPr>
      <xdr:spPr>
        <a:xfrm>
          <a:off x="13518942104" y="35187048"/>
          <a:ext cx="1868665" cy="475529"/>
        </a:xfrm>
        <a:prstGeom prst="wedgeRoundRectCallout">
          <a:avLst>
            <a:gd name="adj1" fmla="val -41670"/>
            <a:gd name="adj2" fmla="val -6834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היחס בין המדד העדכני לישן (הבסיסי) במועד נטלת ההלוואה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7</xdr:col>
      <xdr:colOff>290360</xdr:colOff>
      <xdr:row>214</xdr:row>
      <xdr:rowOff>48010</xdr:rowOff>
    </xdr:from>
    <xdr:to>
      <xdr:col>8</xdr:col>
      <xdr:colOff>335868</xdr:colOff>
      <xdr:row>217</xdr:row>
      <xdr:rowOff>153939</xdr:rowOff>
    </xdr:to>
    <xdr:sp macro="" textlink="">
      <xdr:nvSpPr>
        <xdr:cNvPr id="31" name="Rounded Rectangular Callout 30">
          <a:extLst>
            <a:ext uri="{FF2B5EF4-FFF2-40B4-BE49-F238E27FC236}">
              <a16:creationId xmlns:a16="http://schemas.microsoft.com/office/drawing/2014/main" id="{A3700674-4A10-0EB8-B39A-CC17E477EA16}"/>
            </a:ext>
          </a:extLst>
        </xdr:cNvPr>
        <xdr:cNvSpPr/>
      </xdr:nvSpPr>
      <xdr:spPr>
        <a:xfrm>
          <a:off x="13520916804" y="31752528"/>
          <a:ext cx="871183" cy="672706"/>
        </a:xfrm>
        <a:prstGeom prst="wedgeRoundRectCallout">
          <a:avLst>
            <a:gd name="adj1" fmla="val 5093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יתרה בסיסית לפני הצמדה</a:t>
          </a:r>
          <a:endParaRPr lang="en-US" sz="900"/>
        </a:p>
      </xdr:txBody>
    </xdr:sp>
    <xdr:clientData/>
  </xdr:twoCellAnchor>
  <xdr:twoCellAnchor>
    <xdr:from>
      <xdr:col>5</xdr:col>
      <xdr:colOff>825649</xdr:colOff>
      <xdr:row>214</xdr:row>
      <xdr:rowOff>93492</xdr:rowOff>
    </xdr:from>
    <xdr:to>
      <xdr:col>7</xdr:col>
      <xdr:colOff>45482</xdr:colOff>
      <xdr:row>218</xdr:row>
      <xdr:rowOff>10496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DB649BBB-5E4C-98E3-2779-21174CA7A1E9}"/>
            </a:ext>
          </a:extLst>
        </xdr:cNvPr>
        <xdr:cNvSpPr/>
      </xdr:nvSpPr>
      <xdr:spPr>
        <a:xfrm>
          <a:off x="13522032865" y="31798010"/>
          <a:ext cx="871183" cy="672706"/>
        </a:xfrm>
        <a:prstGeom prst="wedgeRoundRectCallout">
          <a:avLst>
            <a:gd name="adj1" fmla="val -31452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היחס בין המדד החדש לישן (הבסיסי)</a:t>
          </a:r>
          <a:endParaRPr lang="en-US" sz="900"/>
        </a:p>
      </xdr:txBody>
    </xdr:sp>
    <xdr:clientData/>
  </xdr:twoCellAnchor>
  <xdr:twoCellAnchor>
    <xdr:from>
      <xdr:col>6</xdr:col>
      <xdr:colOff>48981</xdr:colOff>
      <xdr:row>276</xdr:row>
      <xdr:rowOff>17493</xdr:rowOff>
    </xdr:from>
    <xdr:to>
      <xdr:col>6</xdr:col>
      <xdr:colOff>129449</xdr:colOff>
      <xdr:row>276</xdr:row>
      <xdr:rowOff>153940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2734970-9DBB-9EED-908B-B1330B8C4D16}"/>
            </a:ext>
          </a:extLst>
        </xdr:cNvPr>
        <xdr:cNvCxnSpPr/>
      </xdr:nvCxnSpPr>
      <xdr:spPr>
        <a:xfrm>
          <a:off x="13522774573" y="40860413"/>
          <a:ext cx="80468" cy="13644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115455</xdr:colOff>
      <xdr:row>277</xdr:row>
      <xdr:rowOff>108457</xdr:rowOff>
    </xdr:from>
    <xdr:to>
      <xdr:col>6</xdr:col>
      <xdr:colOff>209917</xdr:colOff>
      <xdr:row>278</xdr:row>
      <xdr:rowOff>31488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92EB9FC3-7540-CD8A-6A19-A1B17797ACDD}"/>
            </a:ext>
          </a:extLst>
        </xdr:cNvPr>
        <xdr:cNvCxnSpPr/>
      </xdr:nvCxnSpPr>
      <xdr:spPr>
        <a:xfrm flipH="1">
          <a:off x="13522694105" y="41140303"/>
          <a:ext cx="94462" cy="12595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60755</xdr:colOff>
      <xdr:row>259</xdr:row>
      <xdr:rowOff>104959</xdr:rowOff>
    </xdr:from>
    <xdr:to>
      <xdr:col>4</xdr:col>
      <xdr:colOff>701252</xdr:colOff>
      <xdr:row>276</xdr:row>
      <xdr:rowOff>129449</xdr:rowOff>
    </xdr:to>
    <xdr:sp macro="" textlink="">
      <xdr:nvSpPr>
        <xdr:cNvPr id="38" name="Freeform 37">
          <a:extLst>
            <a:ext uri="{FF2B5EF4-FFF2-40B4-BE49-F238E27FC236}">
              <a16:creationId xmlns:a16="http://schemas.microsoft.com/office/drawing/2014/main" id="{7C473400-57AE-97F4-3012-F9B44423DAB7}"/>
            </a:ext>
          </a:extLst>
        </xdr:cNvPr>
        <xdr:cNvSpPr/>
      </xdr:nvSpPr>
      <xdr:spPr>
        <a:xfrm>
          <a:off x="13523903100" y="37666171"/>
          <a:ext cx="1466172" cy="3306198"/>
        </a:xfrm>
        <a:custGeom>
          <a:avLst/>
          <a:gdLst>
            <a:gd name="connsiteX0" fmla="*/ 718746 w 1466172"/>
            <a:gd name="connsiteY0" fmla="*/ 0 h 3306198"/>
            <a:gd name="connsiteX1" fmla="*/ 1453456 w 1466172"/>
            <a:gd name="connsiteY1" fmla="*/ 2242617 h 3306198"/>
            <a:gd name="connsiteX2" fmla="*/ 172961 w 1466172"/>
            <a:gd name="connsiteY2" fmla="*/ 3113774 h 3306198"/>
            <a:gd name="connsiteX3" fmla="*/ 47010 w 1466172"/>
            <a:gd name="connsiteY3" fmla="*/ 3306198 h 33061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466172" h="3306198">
              <a:moveTo>
                <a:pt x="718746" y="0"/>
              </a:moveTo>
              <a:cubicBezTo>
                <a:pt x="1131583" y="861827"/>
                <a:pt x="1544420" y="1723655"/>
                <a:pt x="1453456" y="2242617"/>
              </a:cubicBezTo>
              <a:cubicBezTo>
                <a:pt x="1362492" y="2761579"/>
                <a:pt x="407369" y="2936511"/>
                <a:pt x="172961" y="3113774"/>
              </a:cubicBezTo>
              <a:cubicBezTo>
                <a:pt x="-61447" y="3291038"/>
                <a:pt x="-7219" y="3298618"/>
                <a:pt x="47010" y="3306198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818677</xdr:colOff>
      <xdr:row>277</xdr:row>
      <xdr:rowOff>83967</xdr:rowOff>
    </xdr:from>
    <xdr:to>
      <xdr:col>5</xdr:col>
      <xdr:colOff>62975</xdr:colOff>
      <xdr:row>278</xdr:row>
      <xdr:rowOff>66474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64D89ED-7EB1-904E-6D3B-7BC9EF8817D5}"/>
            </a:ext>
          </a:extLst>
        </xdr:cNvPr>
        <xdr:cNvCxnSpPr/>
      </xdr:nvCxnSpPr>
      <xdr:spPr>
        <a:xfrm flipH="1">
          <a:off x="13523666722" y="41115813"/>
          <a:ext cx="118953" cy="18542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0</xdr:colOff>
      <xdr:row>81</xdr:row>
      <xdr:rowOff>0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13918</xdr:colOff>
      <xdr:row>83</xdr:row>
      <xdr:rowOff>93946</xdr:rowOff>
    </xdr:from>
    <xdr:ext cx="208080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105.7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103.1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678494</xdr:colOff>
      <xdr:row>95</xdr:row>
      <xdr:rowOff>94293</xdr:rowOff>
    </xdr:from>
    <xdr:ext cx="2067696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100,000∗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1+5%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100,000∗(1+5%)∗105.7/103.1=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806586</xdr:colOff>
      <xdr:row>146</xdr:row>
      <xdr:rowOff>160053</xdr:rowOff>
    </xdr:from>
    <xdr:to>
      <xdr:col>10</xdr:col>
      <xdr:colOff>455281</xdr:colOff>
      <xdr:row>157</xdr:row>
      <xdr:rowOff>187887</xdr:rowOff>
    </xdr:to>
    <xdr:pic>
      <xdr:nvPicPr>
        <xdr:cNvPr id="33" name="Picture 32" descr="A humorous scene depicting two investors with unique appearances: one investor looks like a donkey, dressed in a suit, holding a briefcase and examining stocks on a chart. The other investor resembles a Parker pen, characterized by a sleek, cylindrical body with a suit and tie, standing next to a large graph on an easel. Both are in a modern office setting, surrounded by financial charts and computers, conveying a quirky and surreal corporate environment.">
          <a:extLst>
            <a:ext uri="{FF2B5EF4-FFF2-40B4-BE49-F238E27FC236}">
              <a16:creationId xmlns:a16="http://schemas.microsoft.com/office/drawing/2014/main" id="{839D7F9A-A5A0-A035-C1D5-9D09F47F14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2038582" y="26718711"/>
          <a:ext cx="2122585" cy="2132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405231</xdr:colOff>
      <xdr:row>238</xdr:row>
      <xdr:rowOff>111269</xdr:rowOff>
    </xdr:from>
    <xdr:to>
      <xdr:col>7</xdr:col>
      <xdr:colOff>251564</xdr:colOff>
      <xdr:row>250</xdr:row>
      <xdr:rowOff>114300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F3E310A-EF54-E2E1-F614-7CC00BA55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46328765" y="43838539"/>
          <a:ext cx="2377978" cy="2309084"/>
        </a:xfrm>
        <a:prstGeom prst="rect">
          <a:avLst/>
        </a:prstGeom>
      </xdr:spPr>
    </xdr:pic>
    <xdr:clientData/>
  </xdr:twoCellAnchor>
  <xdr:oneCellAnchor>
    <xdr:from>
      <xdr:col>5</xdr:col>
      <xdr:colOff>85726</xdr:colOff>
      <xdr:row>272</xdr:row>
      <xdr:rowOff>11112</xdr:rowOff>
    </xdr:from>
    <xdr:ext cx="2106731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4.8%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𝑟_𝑟=(1+(4.8%)/12)^12−1=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588537</xdr:colOff>
      <xdr:row>30</xdr:row>
      <xdr:rowOff>100672</xdr:rowOff>
    </xdr:from>
    <xdr:to>
      <xdr:col>6</xdr:col>
      <xdr:colOff>480122</xdr:colOff>
      <xdr:row>34</xdr:row>
      <xdr:rowOff>96799</xdr:rowOff>
    </xdr:to>
    <xdr:sp macro="" textlink="">
      <xdr:nvSpPr>
        <xdr:cNvPr id="3" name="Rounded Rectangle 2">
          <a:extLst>
            <a:ext uri="{FF2B5EF4-FFF2-40B4-BE49-F238E27FC236}">
              <a16:creationId xmlns:a16="http://schemas.microsoft.com/office/drawing/2014/main" id="{F0649ED7-FE8E-0276-32E6-7D748E63D9F1}"/>
            </a:ext>
          </a:extLst>
        </xdr:cNvPr>
        <xdr:cNvSpPr/>
      </xdr:nvSpPr>
      <xdr:spPr>
        <a:xfrm>
          <a:off x="13506875915" y="5889239"/>
          <a:ext cx="1591372" cy="75503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אינפלציה באחוזים: השינוי היחסי במדד בתקופת העסקה / בתקופת החישוב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5</xdr:col>
      <xdr:colOff>472379</xdr:colOff>
      <xdr:row>52</xdr:row>
      <xdr:rowOff>120031</xdr:rowOff>
    </xdr:from>
    <xdr:to>
      <xdr:col>7</xdr:col>
      <xdr:colOff>402682</xdr:colOff>
      <xdr:row>55</xdr:row>
      <xdr:rowOff>185854</xdr:rowOff>
    </xdr:to>
    <xdr:sp macro="" textlink="">
      <xdr:nvSpPr>
        <xdr:cNvPr id="9" name="Rounded Rectangle 8">
          <a:extLst>
            <a:ext uri="{FF2B5EF4-FFF2-40B4-BE49-F238E27FC236}">
              <a16:creationId xmlns:a16="http://schemas.microsoft.com/office/drawing/2014/main" id="{4A68798A-774E-1441-8226-7456500949EB}"/>
            </a:ext>
          </a:extLst>
        </xdr:cNvPr>
        <xdr:cNvSpPr/>
      </xdr:nvSpPr>
      <xdr:spPr>
        <a:xfrm>
          <a:off x="13506128629" y="10082561"/>
          <a:ext cx="1579755" cy="635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>
              <a:latin typeface="David" panose="020E0502060401010101" pitchFamily="34" charset="-79"/>
              <a:cs typeface="David" panose="020E0502060401010101" pitchFamily="34" charset="-79"/>
            </a:rPr>
            <a:t>כאשר אינפלציה למספר תקופות נתונה - חישוב אינפלציה לתקופה כוללת תתקבל ע״י רצף מכפלות של ערכי האינפלציה</a:t>
          </a:r>
          <a:endParaRPr lang="en-US" sz="9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734846</xdr:colOff>
      <xdr:row>66</xdr:row>
      <xdr:rowOff>35365</xdr:rowOff>
    </xdr:from>
    <xdr:to>
      <xdr:col>8</xdr:col>
      <xdr:colOff>665149</xdr:colOff>
      <xdr:row>69</xdr:row>
      <xdr:rowOff>101188</xdr:rowOff>
    </xdr:to>
    <xdr:sp macro="" textlink="">
      <xdr:nvSpPr>
        <xdr:cNvPr id="12" name="Rounded Rectangle 11">
          <a:extLst>
            <a:ext uri="{FF2B5EF4-FFF2-40B4-BE49-F238E27FC236}">
              <a16:creationId xmlns:a16="http://schemas.microsoft.com/office/drawing/2014/main" id="{393C2DFE-43F6-D30A-4746-873FB8289BEE}"/>
            </a:ext>
          </a:extLst>
        </xdr:cNvPr>
        <xdr:cNvSpPr/>
      </xdr:nvSpPr>
      <xdr:spPr>
        <a:xfrm>
          <a:off x="13517722851" y="12709965"/>
          <a:ext cx="1581303" cy="63732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>
              <a:latin typeface="David" panose="020E0502060401010101" pitchFamily="34" charset="-79"/>
              <a:cs typeface="David" panose="020E0502060401010101" pitchFamily="34" charset="-79"/>
            </a:rPr>
            <a:t>אם ערכי המדד ידועים לתחילת השנה ולסופה, היחס בין המדדים פחות אחת הוא האינפלציה הכוללת השנתית</a:t>
          </a:r>
          <a:endParaRPr lang="en-US" sz="9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5</xdr:col>
      <xdr:colOff>732367</xdr:colOff>
      <xdr:row>95</xdr:row>
      <xdr:rowOff>110067</xdr:rowOff>
    </xdr:from>
    <xdr:to>
      <xdr:col>6</xdr:col>
      <xdr:colOff>270933</xdr:colOff>
      <xdr:row>96</xdr:row>
      <xdr:rowOff>0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981DB368-AB17-776D-8115-BC5690923845}"/>
            </a:ext>
          </a:extLst>
        </xdr:cNvPr>
        <xdr:cNvCxnSpPr/>
      </xdr:nvCxnSpPr>
      <xdr:spPr>
        <a:xfrm flipH="1" flipV="1">
          <a:off x="13519768067" y="17763067"/>
          <a:ext cx="364066" cy="8043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76201</xdr:colOff>
      <xdr:row>95</xdr:row>
      <xdr:rowOff>33867</xdr:rowOff>
    </xdr:from>
    <xdr:to>
      <xdr:col>5</xdr:col>
      <xdr:colOff>414867</xdr:colOff>
      <xdr:row>95</xdr:row>
      <xdr:rowOff>173566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C0F207B4-F43F-1307-29FD-AFC989E5AE3E}"/>
            </a:ext>
          </a:extLst>
        </xdr:cNvPr>
        <xdr:cNvCxnSpPr/>
      </xdr:nvCxnSpPr>
      <xdr:spPr>
        <a:xfrm flipH="1" flipV="1">
          <a:off x="13520449633" y="17686867"/>
          <a:ext cx="338666" cy="13969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313267</xdr:colOff>
      <xdr:row>97</xdr:row>
      <xdr:rowOff>88900</xdr:rowOff>
    </xdr:from>
    <xdr:to>
      <xdr:col>4</xdr:col>
      <xdr:colOff>321734</xdr:colOff>
      <xdr:row>98</xdr:row>
      <xdr:rowOff>97367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53E05610-170B-1C49-83BD-6665EACB1464}"/>
            </a:ext>
          </a:extLst>
        </xdr:cNvPr>
        <xdr:cNvCxnSpPr/>
      </xdr:nvCxnSpPr>
      <xdr:spPr>
        <a:xfrm flipH="1">
          <a:off x="13521419066" y="18313400"/>
          <a:ext cx="8467" cy="1989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235185</xdr:colOff>
      <xdr:row>109</xdr:row>
      <xdr:rowOff>84667</xdr:rowOff>
    </xdr:from>
    <xdr:to>
      <xdr:col>10</xdr:col>
      <xdr:colOff>94073</xdr:colOff>
      <xdr:row>117</xdr:row>
      <xdr:rowOff>122296</xdr:rowOff>
    </xdr:to>
    <xdr:sp macro="" textlink="">
      <xdr:nvSpPr>
        <xdr:cNvPr id="47" name="Rounded Rectangle 46">
          <a:extLst>
            <a:ext uri="{FF2B5EF4-FFF2-40B4-BE49-F238E27FC236}">
              <a16:creationId xmlns:a16="http://schemas.microsoft.com/office/drawing/2014/main" id="{2CA8216E-85CD-AA37-367B-6AAD51EE247D}"/>
            </a:ext>
          </a:extLst>
        </xdr:cNvPr>
        <xdr:cNvSpPr/>
      </xdr:nvSpPr>
      <xdr:spPr>
        <a:xfrm>
          <a:off x="13555152149" y="21246630"/>
          <a:ext cx="3998148" cy="1580444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אם בעסקה יש הצמדה למדד:</a:t>
          </a:r>
        </a:p>
        <a:p>
          <a:pPr algn="r" rtl="1"/>
          <a:r>
            <a:rPr lang="he-IL" sz="1100"/>
            <a:t>הריבית הנומינלית בעסקה =</a:t>
          </a:r>
          <a:r>
            <a:rPr lang="he-IL" sz="1100" baseline="0"/>
            <a:t> ריבית כוללת = המתחשבת באינפלציה / בהצמדה</a:t>
          </a:r>
        </a:p>
        <a:p>
          <a:pPr algn="r" rtl="1"/>
          <a:r>
            <a:rPr lang="he-IL" sz="1100" baseline="0"/>
            <a:t>הריבית הנתונה (לפני הצמדה) = ריבית ריאלית</a:t>
          </a:r>
        </a:p>
        <a:p>
          <a:pPr algn="r" rtl="1"/>
          <a:endParaRPr lang="he-IL" sz="1100" baseline="0"/>
        </a:p>
        <a:p>
          <a:pPr algn="r" rtl="1"/>
          <a:r>
            <a:rPr lang="he-IL" sz="1100" baseline="0"/>
            <a:t>אם בעסקה אין הצמדה למדד:</a:t>
          </a:r>
        </a:p>
        <a:p>
          <a:pPr algn="r" rtl="1"/>
          <a:r>
            <a:rPr lang="he-IL" sz="1100" baseline="0"/>
            <a:t>הריבית הנומינלית בעסקה = הריבית הנתונה</a:t>
          </a:r>
        </a:p>
        <a:p>
          <a:pPr algn="r" rtl="1"/>
          <a:r>
            <a:rPr lang="he-IL" sz="1100" baseline="0"/>
            <a:t>הריבית הריאלית = הריבית הנומינלית ״בניכוי״ האינפלציה</a:t>
          </a:r>
        </a:p>
        <a:p>
          <a:pPr algn="r" rtl="1"/>
          <a:endParaRPr lang="he-IL" sz="1100" baseline="0"/>
        </a:p>
        <a:p>
          <a:pPr algn="r" rtl="1"/>
          <a:endParaRPr lang="he-IL" sz="1100" baseline="0"/>
        </a:p>
        <a:p>
          <a:pPr algn="r" rtl="1"/>
          <a:endParaRPr lang="en-US" sz="1100"/>
        </a:p>
      </xdr:txBody>
    </xdr:sp>
    <xdr:clientData/>
  </xdr:twoCellAnchor>
  <xdr:oneCellAnchor>
    <xdr:from>
      <xdr:col>6</xdr:col>
      <xdr:colOff>550335</xdr:colOff>
      <xdr:row>127</xdr:row>
      <xdr:rowOff>116651</xdr:rowOff>
    </xdr:from>
    <xdr:ext cx="23968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A29D59D-551F-BDA2-08BD-A30C02392810}"/>
                </a:ext>
              </a:extLst>
            </xdr:cNvPr>
            <xdr:cNvSpPr txBox="1"/>
          </xdr:nvSpPr>
          <xdr:spPr>
            <a:xfrm>
              <a:off x="13555610405" y="24749947"/>
              <a:ext cx="23968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𝜋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A29D59D-551F-BDA2-08BD-A30C02392810}"/>
                </a:ext>
              </a:extLst>
            </xdr:cNvPr>
            <xdr:cNvSpPr txBox="1"/>
          </xdr:nvSpPr>
          <xdr:spPr>
            <a:xfrm>
              <a:off x="13555610405" y="24749947"/>
              <a:ext cx="23968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𝑟_𝑛=(1+2%)∗(1+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540926</xdr:colOff>
      <xdr:row>130</xdr:row>
      <xdr:rowOff>55502</xdr:rowOff>
    </xdr:from>
    <xdr:ext cx="23968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39C69D39-6038-42CC-5820-B4B76F27E733}"/>
                </a:ext>
              </a:extLst>
            </xdr:cNvPr>
            <xdr:cNvSpPr txBox="1"/>
          </xdr:nvSpPr>
          <xdr:spPr>
            <a:xfrm>
              <a:off x="13555619814" y="25267354"/>
              <a:ext cx="23968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6%=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𝜋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39C69D39-6038-42CC-5820-B4B76F27E733}"/>
                </a:ext>
              </a:extLst>
            </xdr:cNvPr>
            <xdr:cNvSpPr txBox="1"/>
          </xdr:nvSpPr>
          <xdr:spPr>
            <a:xfrm>
              <a:off x="13555619814" y="25267354"/>
              <a:ext cx="23968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6%=(1+𝑟_𝑟 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37630</xdr:colOff>
      <xdr:row>128</xdr:row>
      <xdr:rowOff>112889</xdr:rowOff>
    </xdr:from>
    <xdr:to>
      <xdr:col>9</xdr:col>
      <xdr:colOff>42333</xdr:colOff>
      <xdr:row>130</xdr:row>
      <xdr:rowOff>84667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EB0D659C-0563-4267-CD78-4DA7B59A5D71}"/>
            </a:ext>
          </a:extLst>
        </xdr:cNvPr>
        <xdr:cNvCxnSpPr/>
      </xdr:nvCxnSpPr>
      <xdr:spPr>
        <a:xfrm flipH="1">
          <a:off x="13556031741" y="24939037"/>
          <a:ext cx="4703" cy="35748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188150</xdr:colOff>
      <xdr:row>128</xdr:row>
      <xdr:rowOff>122295</xdr:rowOff>
    </xdr:from>
    <xdr:to>
      <xdr:col>8</xdr:col>
      <xdr:colOff>192853</xdr:colOff>
      <xdr:row>130</xdr:row>
      <xdr:rowOff>94073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5EF04E12-0F94-A9A0-B92E-BC809989B416}"/>
            </a:ext>
          </a:extLst>
        </xdr:cNvPr>
        <xdr:cNvCxnSpPr/>
      </xdr:nvCxnSpPr>
      <xdr:spPr>
        <a:xfrm flipH="1">
          <a:off x="13556709073" y="24948443"/>
          <a:ext cx="4703" cy="35748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136408</xdr:colOff>
      <xdr:row>133</xdr:row>
      <xdr:rowOff>94074</xdr:rowOff>
    </xdr:from>
    <xdr:to>
      <xdr:col>6</xdr:col>
      <xdr:colOff>630297</xdr:colOff>
      <xdr:row>134</xdr:row>
      <xdr:rowOff>47037</xdr:rowOff>
    </xdr:to>
    <xdr:sp macro="" textlink="">
      <xdr:nvSpPr>
        <xdr:cNvPr id="53" name="Right Arrow 52">
          <a:extLst>
            <a:ext uri="{FF2B5EF4-FFF2-40B4-BE49-F238E27FC236}">
              <a16:creationId xmlns:a16="http://schemas.microsoft.com/office/drawing/2014/main" id="{9CA4F1BA-4919-F87E-F5C7-2024DF2C3F2D}"/>
            </a:ext>
          </a:extLst>
        </xdr:cNvPr>
        <xdr:cNvSpPr/>
      </xdr:nvSpPr>
      <xdr:spPr>
        <a:xfrm>
          <a:off x="13557927333" y="25884481"/>
          <a:ext cx="493889" cy="145815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801076</xdr:colOff>
      <xdr:row>164</xdr:row>
      <xdr:rowOff>117230</xdr:rowOff>
    </xdr:from>
    <xdr:to>
      <xdr:col>3</xdr:col>
      <xdr:colOff>34192</xdr:colOff>
      <xdr:row>166</xdr:row>
      <xdr:rowOff>4883</xdr:rowOff>
    </xdr:to>
    <xdr:sp macro="" textlink="">
      <xdr:nvSpPr>
        <xdr:cNvPr id="54" name="Rounded Rectangle 53">
          <a:extLst>
            <a:ext uri="{FF2B5EF4-FFF2-40B4-BE49-F238E27FC236}">
              <a16:creationId xmlns:a16="http://schemas.microsoft.com/office/drawing/2014/main" id="{6B7937BB-26FC-8175-16D8-16F6C01F6410}"/>
            </a:ext>
          </a:extLst>
        </xdr:cNvPr>
        <xdr:cNvSpPr/>
      </xdr:nvSpPr>
      <xdr:spPr>
        <a:xfrm>
          <a:off x="13522530154" y="31539961"/>
          <a:ext cx="1709616" cy="26865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000"/>
            <a:t>חשב</a:t>
          </a:r>
          <a:r>
            <a:rPr lang="he-IL" sz="1000" baseline="0"/>
            <a:t> </a:t>
          </a:r>
          <a:r>
            <a:rPr lang="en-US" sz="1000" baseline="0"/>
            <a:t>PMT</a:t>
          </a:r>
          <a:r>
            <a:rPr lang="he-IL" sz="1000" baseline="0"/>
            <a:t> בהתעלם מהצמדה</a:t>
          </a:r>
          <a:endParaRPr lang="en-US" sz="1000"/>
        </a:p>
      </xdr:txBody>
    </xdr:sp>
    <xdr:clientData/>
  </xdr:twoCellAnchor>
  <xdr:twoCellAnchor>
    <xdr:from>
      <xdr:col>3</xdr:col>
      <xdr:colOff>537309</xdr:colOff>
      <xdr:row>163</xdr:row>
      <xdr:rowOff>14654</xdr:rowOff>
    </xdr:from>
    <xdr:to>
      <xdr:col>6</xdr:col>
      <xdr:colOff>493346</xdr:colOff>
      <xdr:row>166</xdr:row>
      <xdr:rowOff>9768</xdr:rowOff>
    </xdr:to>
    <xdr:sp macro="" textlink="">
      <xdr:nvSpPr>
        <xdr:cNvPr id="55" name="Rounded Rectangle 54">
          <a:extLst>
            <a:ext uri="{FF2B5EF4-FFF2-40B4-BE49-F238E27FC236}">
              <a16:creationId xmlns:a16="http://schemas.microsoft.com/office/drawing/2014/main" id="{4642FB2A-70F6-05EE-36B6-35B7C5F4C898}"/>
            </a:ext>
          </a:extLst>
        </xdr:cNvPr>
        <xdr:cNvSpPr/>
      </xdr:nvSpPr>
      <xdr:spPr>
        <a:xfrm>
          <a:off x="13519545654" y="31246885"/>
          <a:ext cx="2481383" cy="566614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900"/>
            <a:t>לכפול ב-1 ועוד האינפלציה באחוזים</a:t>
          </a:r>
        </a:p>
        <a:p>
          <a:pPr algn="ctr" rtl="1"/>
          <a:r>
            <a:rPr lang="he-IL" sz="900"/>
            <a:t>או:</a:t>
          </a:r>
        </a:p>
        <a:p>
          <a:pPr algn="ctr" rtl="1"/>
          <a:r>
            <a:rPr lang="he-IL" sz="900"/>
            <a:t>לכפול ביחס בין המדד העדכני למדד הבסיס</a:t>
          </a:r>
          <a:endParaRPr lang="en-US" sz="900"/>
        </a:p>
      </xdr:txBody>
    </xdr:sp>
    <xdr:clientData/>
  </xdr:twoCellAnchor>
  <xdr:twoCellAnchor>
    <xdr:from>
      <xdr:col>3</xdr:col>
      <xdr:colOff>63500</xdr:colOff>
      <xdr:row>164</xdr:row>
      <xdr:rowOff>180730</xdr:rowOff>
    </xdr:from>
    <xdr:to>
      <xdr:col>3</xdr:col>
      <xdr:colOff>498230</xdr:colOff>
      <xdr:row>165</xdr:row>
      <xdr:rowOff>102576</xdr:rowOff>
    </xdr:to>
    <xdr:sp macro="" textlink="">
      <xdr:nvSpPr>
        <xdr:cNvPr id="57" name="Left Arrow 56">
          <a:extLst>
            <a:ext uri="{FF2B5EF4-FFF2-40B4-BE49-F238E27FC236}">
              <a16:creationId xmlns:a16="http://schemas.microsoft.com/office/drawing/2014/main" id="{78F99846-BE5C-EA5F-E6AD-130AA23DEE24}"/>
            </a:ext>
          </a:extLst>
        </xdr:cNvPr>
        <xdr:cNvSpPr/>
      </xdr:nvSpPr>
      <xdr:spPr>
        <a:xfrm>
          <a:off x="13522066116" y="31603461"/>
          <a:ext cx="434730" cy="11234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78154</xdr:colOff>
      <xdr:row>172</xdr:row>
      <xdr:rowOff>107461</xdr:rowOff>
    </xdr:from>
    <xdr:to>
      <xdr:col>5</xdr:col>
      <xdr:colOff>395654</xdr:colOff>
      <xdr:row>172</xdr:row>
      <xdr:rowOff>112346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442A2DC9-9B98-CA63-DFA9-6169F93CE66D}"/>
            </a:ext>
          </a:extLst>
        </xdr:cNvPr>
        <xdr:cNvCxnSpPr/>
      </xdr:nvCxnSpPr>
      <xdr:spPr>
        <a:xfrm flipH="1">
          <a:off x="13520468846" y="33054192"/>
          <a:ext cx="317500" cy="488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390769</xdr:colOff>
      <xdr:row>172</xdr:row>
      <xdr:rowOff>107461</xdr:rowOff>
    </xdr:from>
    <xdr:to>
      <xdr:col>5</xdr:col>
      <xdr:colOff>395654</xdr:colOff>
      <xdr:row>174</xdr:row>
      <xdr:rowOff>48846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89F8FA0-BB6E-4446-ED21-01BFD2C6632B}"/>
            </a:ext>
          </a:extLst>
        </xdr:cNvPr>
        <xdr:cNvCxnSpPr/>
      </xdr:nvCxnSpPr>
      <xdr:spPr>
        <a:xfrm flipV="1">
          <a:off x="13520468846" y="33054192"/>
          <a:ext cx="4885" cy="32238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381000</xdr:colOff>
      <xdr:row>174</xdr:row>
      <xdr:rowOff>34192</xdr:rowOff>
    </xdr:from>
    <xdr:to>
      <xdr:col>7</xdr:col>
      <xdr:colOff>517769</xdr:colOff>
      <xdr:row>174</xdr:row>
      <xdr:rowOff>39077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EE4A7FEA-C8EE-8EEF-29B7-4FE44D3081AC}"/>
            </a:ext>
          </a:extLst>
        </xdr:cNvPr>
        <xdr:cNvCxnSpPr/>
      </xdr:nvCxnSpPr>
      <xdr:spPr>
        <a:xfrm flipH="1">
          <a:off x="13518695731" y="33361923"/>
          <a:ext cx="1787769" cy="488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503115</xdr:colOff>
      <xdr:row>174</xdr:row>
      <xdr:rowOff>34191</xdr:rowOff>
    </xdr:from>
    <xdr:to>
      <xdr:col>7</xdr:col>
      <xdr:colOff>507999</xdr:colOff>
      <xdr:row>175</xdr:row>
      <xdr:rowOff>34192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43FD33BC-8A2F-F7D2-FD2D-BF7C50810E42}"/>
            </a:ext>
          </a:extLst>
        </xdr:cNvPr>
        <xdr:cNvCxnSpPr/>
      </xdr:nvCxnSpPr>
      <xdr:spPr>
        <a:xfrm flipH="1" flipV="1">
          <a:off x="13518705501" y="33361922"/>
          <a:ext cx="4884" cy="20515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747346</xdr:colOff>
      <xdr:row>175</xdr:row>
      <xdr:rowOff>205153</xdr:rowOff>
    </xdr:from>
    <xdr:to>
      <xdr:col>6</xdr:col>
      <xdr:colOff>752231</xdr:colOff>
      <xdr:row>176</xdr:row>
      <xdr:rowOff>151424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5254B635-4866-D193-B68A-1CACDE3B75FD}"/>
            </a:ext>
          </a:extLst>
        </xdr:cNvPr>
        <xdr:cNvCxnSpPr/>
      </xdr:nvCxnSpPr>
      <xdr:spPr>
        <a:xfrm flipH="1">
          <a:off x="13519286769" y="33738038"/>
          <a:ext cx="4885" cy="15142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9769</xdr:colOff>
      <xdr:row>175</xdr:row>
      <xdr:rowOff>117230</xdr:rowOff>
    </xdr:from>
    <xdr:to>
      <xdr:col>9</xdr:col>
      <xdr:colOff>483577</xdr:colOff>
      <xdr:row>175</xdr:row>
      <xdr:rowOff>127000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AAF3FD5A-E4F3-D1CA-9AE7-255413756E03}"/>
            </a:ext>
          </a:extLst>
        </xdr:cNvPr>
        <xdr:cNvCxnSpPr/>
      </xdr:nvCxnSpPr>
      <xdr:spPr>
        <a:xfrm flipV="1">
          <a:off x="13517078923" y="33650115"/>
          <a:ext cx="1299308" cy="977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488460</xdr:colOff>
      <xdr:row>175</xdr:row>
      <xdr:rowOff>112345</xdr:rowOff>
    </xdr:from>
    <xdr:to>
      <xdr:col>9</xdr:col>
      <xdr:colOff>488462</xdr:colOff>
      <xdr:row>182</xdr:row>
      <xdr:rowOff>136770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33337CDF-9299-AD52-4335-E36E58E5CA27}"/>
            </a:ext>
          </a:extLst>
        </xdr:cNvPr>
        <xdr:cNvCxnSpPr/>
      </xdr:nvCxnSpPr>
      <xdr:spPr>
        <a:xfrm flipV="1">
          <a:off x="13517074038" y="33645230"/>
          <a:ext cx="2" cy="1387232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405424</xdr:colOff>
      <xdr:row>182</xdr:row>
      <xdr:rowOff>136769</xdr:rowOff>
    </xdr:from>
    <xdr:to>
      <xdr:col>9</xdr:col>
      <xdr:colOff>493347</xdr:colOff>
      <xdr:row>182</xdr:row>
      <xdr:rowOff>141654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57C71B8E-C05A-39AB-4A5D-9F3D98793DA2}"/>
            </a:ext>
          </a:extLst>
        </xdr:cNvPr>
        <xdr:cNvCxnSpPr/>
      </xdr:nvCxnSpPr>
      <xdr:spPr>
        <a:xfrm>
          <a:off x="13517069153" y="35032461"/>
          <a:ext cx="913423" cy="488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703385</xdr:colOff>
      <xdr:row>189</xdr:row>
      <xdr:rowOff>0</xdr:rowOff>
    </xdr:from>
    <xdr:to>
      <xdr:col>8</xdr:col>
      <xdr:colOff>122115</xdr:colOff>
      <xdr:row>189</xdr:row>
      <xdr:rowOff>166077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851C036D-6C70-18AD-9CA5-072CF0308CB4}"/>
            </a:ext>
          </a:extLst>
        </xdr:cNvPr>
        <xdr:cNvCxnSpPr/>
      </xdr:nvCxnSpPr>
      <xdr:spPr>
        <a:xfrm flipH="1">
          <a:off x="13518265885" y="36243846"/>
          <a:ext cx="244230" cy="16607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141654</xdr:colOff>
      <xdr:row>188</xdr:row>
      <xdr:rowOff>161192</xdr:rowOff>
    </xdr:from>
    <xdr:to>
      <xdr:col>7</xdr:col>
      <xdr:colOff>337039</xdr:colOff>
      <xdr:row>190</xdr:row>
      <xdr:rowOff>0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4207C416-BC7F-DE7F-40E8-0A40E0C8F460}"/>
            </a:ext>
          </a:extLst>
        </xdr:cNvPr>
        <xdr:cNvCxnSpPr/>
      </xdr:nvCxnSpPr>
      <xdr:spPr>
        <a:xfrm>
          <a:off x="13518876461" y="36214538"/>
          <a:ext cx="195385" cy="21980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200269</xdr:colOff>
      <xdr:row>188</xdr:row>
      <xdr:rowOff>161192</xdr:rowOff>
    </xdr:from>
    <xdr:to>
      <xdr:col>7</xdr:col>
      <xdr:colOff>68385</xdr:colOff>
      <xdr:row>190</xdr:row>
      <xdr:rowOff>14654</xdr:rowOff>
    </xdr:to>
    <xdr:cxnSp macro="">
      <xdr:nvCxnSpPr>
        <xdr:cNvPr id="80" name="Straight Arrow Connector 79">
          <a:extLst>
            <a:ext uri="{FF2B5EF4-FFF2-40B4-BE49-F238E27FC236}">
              <a16:creationId xmlns:a16="http://schemas.microsoft.com/office/drawing/2014/main" id="{C92B10F6-D17E-D7A5-9703-D3832AC9D8BE}"/>
            </a:ext>
          </a:extLst>
        </xdr:cNvPr>
        <xdr:cNvCxnSpPr/>
      </xdr:nvCxnSpPr>
      <xdr:spPr>
        <a:xfrm>
          <a:off x="13519145115" y="36214538"/>
          <a:ext cx="693616" cy="2344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320547</xdr:colOff>
      <xdr:row>194</xdr:row>
      <xdr:rowOff>68674</xdr:rowOff>
    </xdr:from>
    <xdr:to>
      <xdr:col>9</xdr:col>
      <xdr:colOff>312615</xdr:colOff>
      <xdr:row>196</xdr:row>
      <xdr:rowOff>14654</xdr:rowOff>
    </xdr:to>
    <xdr:sp macro="" textlink="">
      <xdr:nvSpPr>
        <xdr:cNvPr id="83" name="Rounded Rectangular Callout 82">
          <a:extLst>
            <a:ext uri="{FF2B5EF4-FFF2-40B4-BE49-F238E27FC236}">
              <a16:creationId xmlns:a16="http://schemas.microsoft.com/office/drawing/2014/main" id="{4C04664E-28D6-4527-88DC-00686A04F102}"/>
            </a:ext>
          </a:extLst>
        </xdr:cNvPr>
        <xdr:cNvSpPr/>
      </xdr:nvSpPr>
      <xdr:spPr>
        <a:xfrm>
          <a:off x="13517249885" y="37294328"/>
          <a:ext cx="1643068" cy="326980"/>
        </a:xfrm>
        <a:prstGeom prst="wedgeRoundRectCallout">
          <a:avLst>
            <a:gd name="adj1" fmla="val 21387"/>
            <a:gd name="adj2" fmla="val -6439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החזר בסיסי/ריאלי/ לפני הצמדה</a:t>
          </a:r>
          <a:endParaRPr lang="en-US" sz="900"/>
        </a:p>
      </xdr:txBody>
    </xdr:sp>
    <xdr:clientData/>
  </xdr:twoCellAnchor>
  <xdr:twoCellAnchor>
    <xdr:from>
      <xdr:col>5</xdr:col>
      <xdr:colOff>261931</xdr:colOff>
      <xdr:row>194</xdr:row>
      <xdr:rowOff>73558</xdr:rowOff>
    </xdr:from>
    <xdr:to>
      <xdr:col>7</xdr:col>
      <xdr:colOff>253999</xdr:colOff>
      <xdr:row>196</xdr:row>
      <xdr:rowOff>102577</xdr:rowOff>
    </xdr:to>
    <xdr:sp macro="" textlink="">
      <xdr:nvSpPr>
        <xdr:cNvPr id="84" name="Rounded Rectangular Callout 83">
          <a:extLst>
            <a:ext uri="{FF2B5EF4-FFF2-40B4-BE49-F238E27FC236}">
              <a16:creationId xmlns:a16="http://schemas.microsoft.com/office/drawing/2014/main" id="{14E67173-EB7D-26F0-2ADD-2063BB8D4CF1}"/>
            </a:ext>
          </a:extLst>
        </xdr:cNvPr>
        <xdr:cNvSpPr/>
      </xdr:nvSpPr>
      <xdr:spPr>
        <a:xfrm>
          <a:off x="13518959501" y="37299212"/>
          <a:ext cx="1643068" cy="410019"/>
        </a:xfrm>
        <a:prstGeom prst="wedgeRoundRectCallout">
          <a:avLst>
            <a:gd name="adj1" fmla="val -37178"/>
            <a:gd name="adj2" fmla="val -7190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סכום כולל אחרי הצמדה: דורש מכפלה ב-1 ועוד האינפלציה</a:t>
          </a:r>
          <a:endParaRPr lang="en-US" sz="900"/>
        </a:p>
      </xdr:txBody>
    </xdr:sp>
    <xdr:clientData/>
  </xdr:twoCellAnchor>
  <xdr:twoCellAnchor>
    <xdr:from>
      <xdr:col>3</xdr:col>
      <xdr:colOff>685132</xdr:colOff>
      <xdr:row>206</xdr:row>
      <xdr:rowOff>100263</xdr:rowOff>
    </xdr:from>
    <xdr:to>
      <xdr:col>4</xdr:col>
      <xdr:colOff>96086</xdr:colOff>
      <xdr:row>206</xdr:row>
      <xdr:rowOff>104441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EBBDF10D-3305-36BE-CCCA-C948F159058D}"/>
            </a:ext>
          </a:extLst>
        </xdr:cNvPr>
        <xdr:cNvCxnSpPr/>
      </xdr:nvCxnSpPr>
      <xdr:spPr>
        <a:xfrm>
          <a:off x="13549015888" y="40343388"/>
          <a:ext cx="238125" cy="417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649BB-CD40-7642-8A6F-CD8C276D613F}">
  <dimension ref="A1:G59"/>
  <sheetViews>
    <sheetView rightToLeft="1" zoomScale="177" workbookViewId="0">
      <selection activeCell="N9" sqref="N9"/>
    </sheetView>
  </sheetViews>
  <sheetFormatPr baseColWidth="10" defaultColWidth="10.83203125" defaultRowHeight="15" x14ac:dyDescent="0.2"/>
  <cols>
    <col min="1" max="6" width="10.83203125" style="43"/>
    <col min="7" max="7" width="26.5" style="43" customWidth="1"/>
    <col min="8" max="16384" width="10.83203125" style="43"/>
  </cols>
  <sheetData>
    <row r="1" spans="1:7" x14ac:dyDescent="0.2">
      <c r="A1" s="45" t="s">
        <v>0</v>
      </c>
      <c r="B1" s="46"/>
      <c r="C1" s="46"/>
      <c r="D1" s="46"/>
      <c r="E1" s="46"/>
      <c r="F1" s="46"/>
      <c r="G1" s="46"/>
    </row>
    <row r="2" spans="1:7" x14ac:dyDescent="0.2">
      <c r="A2" s="43" t="s">
        <v>2870</v>
      </c>
    </row>
    <row r="3" spans="1:7" ht="21" x14ac:dyDescent="0.25">
      <c r="A3" s="43" t="s">
        <v>2871</v>
      </c>
    </row>
    <row r="4" spans="1:7" x14ac:dyDescent="0.2">
      <c r="A4" s="43" t="s">
        <v>1</v>
      </c>
      <c r="D4" s="43" t="s">
        <v>2</v>
      </c>
      <c r="E4" s="43" t="s">
        <v>3</v>
      </c>
    </row>
    <row r="5" spans="1:7" x14ac:dyDescent="0.2">
      <c r="D5" s="43" t="s">
        <v>4</v>
      </c>
      <c r="E5" s="43" t="s">
        <v>5</v>
      </c>
    </row>
    <row r="6" spans="1:7" x14ac:dyDescent="0.2">
      <c r="D6" s="43" t="s">
        <v>6</v>
      </c>
      <c r="E6" s="43" t="s">
        <v>7</v>
      </c>
    </row>
    <row r="7" spans="1:7" x14ac:dyDescent="0.2">
      <c r="D7" s="43" t="s">
        <v>2423</v>
      </c>
      <c r="E7" s="43" t="s">
        <v>2422</v>
      </c>
      <c r="F7" s="43" t="s">
        <v>2424</v>
      </c>
    </row>
    <row r="8" spans="1:7" ht="16" thickBot="1" x14ac:dyDescent="0.25"/>
    <row r="9" spans="1:7" x14ac:dyDescent="0.2">
      <c r="A9" s="211" t="s">
        <v>8</v>
      </c>
      <c r="B9" s="212"/>
      <c r="C9" s="212"/>
      <c r="D9" s="212"/>
      <c r="E9" s="212"/>
      <c r="F9" s="212"/>
      <c r="G9" s="213"/>
    </row>
    <row r="10" spans="1:7" ht="16" thickBot="1" x14ac:dyDescent="0.25">
      <c r="A10" s="216" t="s">
        <v>9</v>
      </c>
      <c r="B10" s="217"/>
      <c r="C10" s="217"/>
      <c r="D10" s="217"/>
      <c r="E10" s="217"/>
      <c r="F10" s="217"/>
      <c r="G10" s="218"/>
    </row>
    <row r="11" spans="1:7" ht="16" thickBot="1" x14ac:dyDescent="0.25"/>
    <row r="12" spans="1:7" ht="16" thickBot="1" x14ac:dyDescent="0.25">
      <c r="A12" s="66" t="s">
        <v>2425</v>
      </c>
      <c r="B12" s="67"/>
      <c r="C12" s="67"/>
      <c r="D12" s="67"/>
      <c r="E12" s="67"/>
      <c r="F12" s="67"/>
      <c r="G12" s="208"/>
    </row>
    <row r="13" spans="1:7" ht="16" thickBot="1" x14ac:dyDescent="0.25"/>
    <row r="14" spans="1:7" ht="16" thickBot="1" x14ac:dyDescent="0.25">
      <c r="A14" s="207" t="s">
        <v>10</v>
      </c>
      <c r="B14" s="492" t="s">
        <v>11</v>
      </c>
      <c r="C14" s="492" t="s">
        <v>12</v>
      </c>
      <c r="D14" s="492"/>
      <c r="E14" s="492"/>
      <c r="F14" s="492"/>
      <c r="G14" s="578"/>
    </row>
    <row r="15" spans="1:7" x14ac:dyDescent="0.2">
      <c r="A15" s="349">
        <v>45354</v>
      </c>
      <c r="B15" s="567">
        <v>1</v>
      </c>
      <c r="C15" s="212" t="s">
        <v>14</v>
      </c>
      <c r="D15" s="212"/>
      <c r="E15" s="212"/>
      <c r="F15" s="212"/>
      <c r="G15" s="213"/>
    </row>
    <row r="16" spans="1:7" x14ac:dyDescent="0.2">
      <c r="A16" s="320"/>
      <c r="B16" s="79"/>
      <c r="C16" s="43" t="s">
        <v>15</v>
      </c>
      <c r="G16" s="215"/>
    </row>
    <row r="17" spans="1:7" x14ac:dyDescent="0.2">
      <c r="A17" s="320"/>
      <c r="B17" s="79"/>
      <c r="C17" s="43" t="s">
        <v>16</v>
      </c>
      <c r="G17" s="215"/>
    </row>
    <row r="18" spans="1:7" x14ac:dyDescent="0.2">
      <c r="A18" s="320"/>
      <c r="B18" s="79"/>
      <c r="D18" s="43" t="s">
        <v>17</v>
      </c>
      <c r="G18" s="215"/>
    </row>
    <row r="19" spans="1:7" x14ac:dyDescent="0.2">
      <c r="A19" s="320"/>
      <c r="B19" s="79"/>
      <c r="D19" s="43" t="s">
        <v>18</v>
      </c>
      <c r="G19" s="215"/>
    </row>
    <row r="20" spans="1:7" x14ac:dyDescent="0.2">
      <c r="A20" s="320"/>
      <c r="B20" s="79"/>
      <c r="D20" s="43" t="s">
        <v>19</v>
      </c>
      <c r="G20" s="215"/>
    </row>
    <row r="21" spans="1:7" x14ac:dyDescent="0.2">
      <c r="A21" s="320"/>
      <c r="B21" s="79"/>
      <c r="C21" s="43" t="s">
        <v>20</v>
      </c>
      <c r="G21" s="215"/>
    </row>
    <row r="22" spans="1:7" x14ac:dyDescent="0.2">
      <c r="A22" s="320"/>
      <c r="B22" s="79"/>
      <c r="D22" s="43" t="s">
        <v>21</v>
      </c>
      <c r="G22" s="215"/>
    </row>
    <row r="23" spans="1:7" x14ac:dyDescent="0.2">
      <c r="A23" s="320"/>
      <c r="D23" s="43" t="s">
        <v>22</v>
      </c>
      <c r="G23" s="215"/>
    </row>
    <row r="24" spans="1:7" x14ac:dyDescent="0.2">
      <c r="A24" s="320"/>
      <c r="D24" s="43" t="s">
        <v>23</v>
      </c>
      <c r="G24" s="215"/>
    </row>
    <row r="25" spans="1:7" ht="16" thickBot="1" x14ac:dyDescent="0.25">
      <c r="A25" s="234"/>
      <c r="B25" s="217"/>
      <c r="C25" s="217"/>
      <c r="D25" s="217" t="s">
        <v>24</v>
      </c>
      <c r="E25" s="217"/>
      <c r="F25" s="217"/>
      <c r="G25" s="218"/>
    </row>
    <row r="26" spans="1:7" x14ac:dyDescent="0.2">
      <c r="A26" s="349">
        <v>45361</v>
      </c>
      <c r="B26" s="212">
        <v>2</v>
      </c>
      <c r="C26" s="212" t="s">
        <v>25</v>
      </c>
      <c r="D26" s="212"/>
      <c r="E26" s="212"/>
      <c r="F26" s="212"/>
      <c r="G26" s="213"/>
    </row>
    <row r="27" spans="1:7" x14ac:dyDescent="0.2">
      <c r="A27" s="320"/>
      <c r="C27" s="43" t="s">
        <v>26</v>
      </c>
      <c r="G27" s="215"/>
    </row>
    <row r="28" spans="1:7" x14ac:dyDescent="0.2">
      <c r="A28" s="320"/>
      <c r="C28" s="43" t="s">
        <v>27</v>
      </c>
      <c r="G28" s="215"/>
    </row>
    <row r="29" spans="1:7" x14ac:dyDescent="0.2">
      <c r="A29" s="320"/>
      <c r="G29" s="215"/>
    </row>
    <row r="30" spans="1:7" x14ac:dyDescent="0.2">
      <c r="A30" s="320"/>
      <c r="G30" s="215"/>
    </row>
    <row r="31" spans="1:7" x14ac:dyDescent="0.2">
      <c r="A31" s="320"/>
      <c r="G31" s="215"/>
    </row>
    <row r="32" spans="1:7" ht="16" thickBot="1" x14ac:dyDescent="0.25">
      <c r="A32" s="234"/>
      <c r="B32" s="217"/>
      <c r="C32" s="217"/>
      <c r="D32" s="217"/>
      <c r="E32" s="217"/>
      <c r="F32" s="217"/>
      <c r="G32" s="218"/>
    </row>
    <row r="33" spans="1:7" x14ac:dyDescent="0.2">
      <c r="A33" s="349">
        <v>45368</v>
      </c>
      <c r="B33" s="212">
        <v>3</v>
      </c>
      <c r="C33" s="212" t="s">
        <v>28</v>
      </c>
      <c r="D33" s="212"/>
      <c r="E33" s="212"/>
      <c r="F33" s="212"/>
      <c r="G33" s="213"/>
    </row>
    <row r="34" spans="1:7" x14ac:dyDescent="0.2">
      <c r="A34" s="320"/>
      <c r="C34" s="43" t="s">
        <v>29</v>
      </c>
      <c r="G34" s="215"/>
    </row>
    <row r="35" spans="1:7" x14ac:dyDescent="0.2">
      <c r="A35" s="320"/>
      <c r="C35" s="43" t="s">
        <v>31</v>
      </c>
      <c r="G35" s="215"/>
    </row>
    <row r="36" spans="1:7" x14ac:dyDescent="0.2">
      <c r="A36" s="320"/>
      <c r="C36" s="43" t="s">
        <v>32</v>
      </c>
      <c r="G36" s="215"/>
    </row>
    <row r="37" spans="1:7" x14ac:dyDescent="0.2">
      <c r="A37" s="320"/>
      <c r="C37" s="43" t="s">
        <v>33</v>
      </c>
      <c r="G37" s="215"/>
    </row>
    <row r="38" spans="1:7" ht="16" thickBot="1" x14ac:dyDescent="0.25">
      <c r="A38" s="234"/>
      <c r="B38" s="217"/>
      <c r="C38" s="217"/>
      <c r="D38" s="217"/>
      <c r="E38" s="217"/>
      <c r="F38" s="217"/>
      <c r="G38" s="218"/>
    </row>
    <row r="39" spans="1:7" x14ac:dyDescent="0.2">
      <c r="A39" s="349">
        <v>45382</v>
      </c>
      <c r="B39" s="212">
        <v>4</v>
      </c>
      <c r="C39" s="212" t="s">
        <v>35</v>
      </c>
      <c r="D39" s="212"/>
      <c r="E39" s="212"/>
      <c r="F39" s="212"/>
      <c r="G39" s="213"/>
    </row>
    <row r="40" spans="1:7" x14ac:dyDescent="0.2">
      <c r="A40" s="320"/>
      <c r="C40" s="43" t="s">
        <v>36</v>
      </c>
      <c r="G40" s="215"/>
    </row>
    <row r="41" spans="1:7" ht="16" thickBot="1" x14ac:dyDescent="0.25">
      <c r="A41" s="234"/>
      <c r="B41" s="217"/>
      <c r="C41" s="217" t="s">
        <v>37</v>
      </c>
      <c r="D41" s="217"/>
      <c r="E41" s="217"/>
      <c r="F41" s="217"/>
      <c r="G41" s="218"/>
    </row>
    <row r="42" spans="1:7" x14ac:dyDescent="0.2">
      <c r="A42" s="349"/>
      <c r="B42" s="212">
        <v>5</v>
      </c>
      <c r="C42" s="212" t="s">
        <v>38</v>
      </c>
      <c r="D42" s="212"/>
      <c r="E42" s="212"/>
      <c r="F42" s="212"/>
      <c r="G42" s="212"/>
    </row>
    <row r="43" spans="1:7" x14ac:dyDescent="0.2">
      <c r="A43" s="320"/>
    </row>
    <row r="44" spans="1:7" x14ac:dyDescent="0.2">
      <c r="A44" s="320"/>
    </row>
    <row r="45" spans="1:7" ht="16" thickBot="1" x14ac:dyDescent="0.25">
      <c r="A45" s="234"/>
      <c r="B45" s="217"/>
      <c r="C45" s="217"/>
      <c r="D45" s="217"/>
      <c r="E45" s="217"/>
      <c r="F45" s="217"/>
      <c r="G45" s="217"/>
    </row>
    <row r="46" spans="1:7" x14ac:dyDescent="0.2">
      <c r="A46" s="349"/>
      <c r="B46" s="212">
        <v>6</v>
      </c>
      <c r="C46" s="212" t="s">
        <v>39</v>
      </c>
      <c r="D46" s="212"/>
      <c r="E46" s="212"/>
      <c r="F46" s="212"/>
      <c r="G46" s="212"/>
    </row>
    <row r="47" spans="1:7" x14ac:dyDescent="0.2">
      <c r="A47" s="320"/>
    </row>
    <row r="48" spans="1:7" ht="16" thickBot="1" x14ac:dyDescent="0.25">
      <c r="A48" s="234"/>
      <c r="B48" s="217"/>
      <c r="C48" s="217"/>
      <c r="D48" s="217"/>
      <c r="E48" s="217"/>
      <c r="F48" s="217"/>
      <c r="G48" s="217"/>
    </row>
    <row r="49" spans="1:7" x14ac:dyDescent="0.2">
      <c r="A49" s="349"/>
      <c r="B49" s="212">
        <v>7</v>
      </c>
      <c r="C49" s="212" t="s">
        <v>40</v>
      </c>
      <c r="D49" s="212"/>
      <c r="E49" s="212"/>
      <c r="F49" s="212"/>
      <c r="G49" s="212"/>
    </row>
    <row r="50" spans="1:7" x14ac:dyDescent="0.2">
      <c r="A50" s="320"/>
    </row>
    <row r="51" spans="1:7" ht="16" thickBot="1" x14ac:dyDescent="0.25">
      <c r="A51" s="320"/>
    </row>
    <row r="52" spans="1:7" x14ac:dyDescent="0.2">
      <c r="A52" s="349"/>
      <c r="B52" s="212">
        <v>8</v>
      </c>
      <c r="C52" s="212" t="s">
        <v>41</v>
      </c>
      <c r="D52" s="212"/>
      <c r="E52" s="212"/>
      <c r="F52" s="212"/>
      <c r="G52" s="212"/>
    </row>
    <row r="53" spans="1:7" ht="16" thickBot="1" x14ac:dyDescent="0.25">
      <c r="A53" s="515"/>
      <c r="B53" s="217"/>
      <c r="C53" s="217" t="s">
        <v>42</v>
      </c>
      <c r="D53" s="217"/>
      <c r="E53" s="217"/>
      <c r="F53" s="217"/>
      <c r="G53" s="217"/>
    </row>
    <row r="54" spans="1:7" ht="16" thickBot="1" x14ac:dyDescent="0.25">
      <c r="A54" s="539"/>
      <c r="B54" s="43">
        <v>9</v>
      </c>
      <c r="C54" s="43" t="s">
        <v>43</v>
      </c>
    </row>
    <row r="55" spans="1:7" x14ac:dyDescent="0.2">
      <c r="A55" s="349"/>
      <c r="B55" s="212">
        <v>10</v>
      </c>
      <c r="C55" s="212" t="s">
        <v>44</v>
      </c>
      <c r="D55" s="212"/>
      <c r="E55" s="212"/>
      <c r="F55" s="212"/>
      <c r="G55" s="212"/>
    </row>
    <row r="56" spans="1:7" ht="16" thickBot="1" x14ac:dyDescent="0.25">
      <c r="A56" s="539"/>
    </row>
    <row r="57" spans="1:7" x14ac:dyDescent="0.2">
      <c r="A57" s="349"/>
      <c r="B57" s="212">
        <v>11</v>
      </c>
      <c r="C57" s="212" t="s">
        <v>45</v>
      </c>
      <c r="D57" s="212"/>
      <c r="E57" s="212"/>
      <c r="F57" s="212"/>
      <c r="G57" s="212"/>
    </row>
    <row r="58" spans="1:7" ht="16" thickBot="1" x14ac:dyDescent="0.25">
      <c r="A58" s="515"/>
      <c r="B58" s="217"/>
      <c r="C58" s="217"/>
      <c r="D58" s="217"/>
      <c r="E58" s="217"/>
      <c r="F58" s="217"/>
      <c r="G58" s="217"/>
    </row>
    <row r="59" spans="1:7" ht="16" thickBot="1" x14ac:dyDescent="0.25">
      <c r="A59" s="515"/>
      <c r="B59" s="217">
        <v>12</v>
      </c>
      <c r="C59" s="217" t="s">
        <v>46</v>
      </c>
      <c r="D59" s="217"/>
      <c r="E59" s="217"/>
      <c r="F59" s="217"/>
      <c r="G59" s="217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93710-ADDF-0741-BF6C-C2B0462B06CD}">
  <dimension ref="A1:J320"/>
  <sheetViews>
    <sheetView showGridLines="0" rightToLeft="1" topLeftCell="A97" zoomScale="304" zoomScaleNormal="260" workbookViewId="0">
      <selection activeCell="G168" sqref="G168"/>
    </sheetView>
  </sheetViews>
  <sheetFormatPr baseColWidth="10" defaultColWidth="10.83203125" defaultRowHeight="15" x14ac:dyDescent="0.2"/>
  <cols>
    <col min="1" max="4" width="10.83203125" style="43"/>
    <col min="5" max="5" width="11.5" style="43" customWidth="1"/>
    <col min="6" max="7" width="10.83203125" style="43"/>
    <col min="8" max="8" width="10.83203125" style="43" customWidth="1"/>
    <col min="9" max="16384" width="10.83203125" style="43"/>
  </cols>
  <sheetData>
    <row r="1" spans="1:8" s="92" customFormat="1" ht="16" x14ac:dyDescent="0.2">
      <c r="A1" s="740" t="s">
        <v>3343</v>
      </c>
      <c r="B1" s="740"/>
      <c r="C1" s="740"/>
      <c r="D1" s="740"/>
      <c r="E1" s="740"/>
      <c r="F1" s="740"/>
      <c r="G1" s="740"/>
      <c r="H1" s="740"/>
    </row>
    <row r="3" spans="1:8" ht="16" thickBot="1" x14ac:dyDescent="0.25">
      <c r="A3" s="179" t="s">
        <v>1710</v>
      </c>
      <c r="B3" s="177"/>
      <c r="C3" s="177"/>
      <c r="D3" s="177"/>
      <c r="E3" s="177"/>
      <c r="F3" s="177"/>
      <c r="G3" s="177"/>
      <c r="H3" s="177"/>
    </row>
    <row r="4" spans="1:8" x14ac:dyDescent="0.2">
      <c r="A4" s="321" t="s">
        <v>1711</v>
      </c>
      <c r="B4" s="212"/>
      <c r="C4" s="212"/>
      <c r="D4" s="212"/>
      <c r="E4" s="212"/>
      <c r="F4" s="212"/>
      <c r="G4" s="212"/>
      <c r="H4" s="213"/>
    </row>
    <row r="5" spans="1:8" x14ac:dyDescent="0.2">
      <c r="A5" s="320" t="s">
        <v>1712</v>
      </c>
      <c r="H5" s="215"/>
    </row>
    <row r="6" spans="1:8" x14ac:dyDescent="0.2">
      <c r="A6" s="320" t="s">
        <v>1713</v>
      </c>
      <c r="H6" s="215"/>
    </row>
    <row r="7" spans="1:8" x14ac:dyDescent="0.2">
      <c r="A7" s="320"/>
      <c r="H7" s="215"/>
    </row>
    <row r="8" spans="1:8" x14ac:dyDescent="0.2">
      <c r="A8" s="320" t="s">
        <v>1714</v>
      </c>
      <c r="H8" s="215"/>
    </row>
    <row r="9" spans="1:8" x14ac:dyDescent="0.2">
      <c r="A9" s="320" t="s">
        <v>1715</v>
      </c>
      <c r="H9" s="215"/>
    </row>
    <row r="10" spans="1:8" x14ac:dyDescent="0.2">
      <c r="A10" s="320"/>
      <c r="H10" s="215"/>
    </row>
    <row r="11" spans="1:8" x14ac:dyDescent="0.2">
      <c r="A11" s="320" t="s">
        <v>1716</v>
      </c>
      <c r="B11" s="220" t="s">
        <v>2869</v>
      </c>
      <c r="H11" s="215"/>
    </row>
    <row r="12" spans="1:8" x14ac:dyDescent="0.2">
      <c r="A12" s="320"/>
      <c r="H12" s="215"/>
    </row>
    <row r="13" spans="1:8" x14ac:dyDescent="0.2">
      <c r="A13" s="320" t="s">
        <v>1717</v>
      </c>
      <c r="H13" s="215"/>
    </row>
    <row r="14" spans="1:8" ht="16" thickBot="1" x14ac:dyDescent="0.25">
      <c r="A14" s="234" t="s">
        <v>1718</v>
      </c>
      <c r="B14" s="217"/>
      <c r="C14" s="217"/>
      <c r="D14" s="217"/>
      <c r="E14" s="217"/>
      <c r="F14" s="217"/>
      <c r="G14" s="217"/>
      <c r="H14" s="218"/>
    </row>
    <row r="15" spans="1:8" ht="16" thickBot="1" x14ac:dyDescent="0.25"/>
    <row r="16" spans="1:8" x14ac:dyDescent="0.2">
      <c r="A16" s="321" t="s">
        <v>1719</v>
      </c>
      <c r="B16" s="212"/>
      <c r="C16" s="212"/>
      <c r="D16" s="212"/>
      <c r="E16" s="212"/>
      <c r="F16" s="212"/>
      <c r="G16" s="212"/>
      <c r="H16" s="213"/>
    </row>
    <row r="17" spans="1:8" ht="16" thickBot="1" x14ac:dyDescent="0.25">
      <c r="A17" s="234" t="s">
        <v>1720</v>
      </c>
      <c r="B17" s="217"/>
      <c r="C17" s="217"/>
      <c r="D17" s="217"/>
      <c r="E17" s="217"/>
      <c r="F17" s="217"/>
      <c r="G17" s="217"/>
      <c r="H17" s="218"/>
    </row>
    <row r="19" spans="1:8" x14ac:dyDescent="0.2">
      <c r="A19" s="43" t="s">
        <v>1721</v>
      </c>
    </row>
    <row r="20" spans="1:8" x14ac:dyDescent="0.2">
      <c r="A20" s="43" t="s">
        <v>1722</v>
      </c>
    </row>
    <row r="22" spans="1:8" x14ac:dyDescent="0.2">
      <c r="A22" s="43" t="s">
        <v>65</v>
      </c>
    </row>
    <row r="23" spans="1:8" x14ac:dyDescent="0.2">
      <c r="A23" s="47" t="s">
        <v>1723</v>
      </c>
      <c r="B23" s="43" t="s">
        <v>1724</v>
      </c>
    </row>
    <row r="24" spans="1:8" x14ac:dyDescent="0.2">
      <c r="A24" s="47" t="s">
        <v>1725</v>
      </c>
      <c r="B24" s="43" t="s">
        <v>1726</v>
      </c>
    </row>
    <row r="25" spans="1:8" x14ac:dyDescent="0.2">
      <c r="A25" s="202" t="s">
        <v>1727</v>
      </c>
      <c r="B25" s="43" t="s">
        <v>1728</v>
      </c>
    </row>
    <row r="27" spans="1:8" ht="18" x14ac:dyDescent="0.2">
      <c r="A27" s="645" t="s">
        <v>3344</v>
      </c>
      <c r="B27" s="180"/>
      <c r="C27" s="180"/>
      <c r="D27" s="180"/>
      <c r="E27" s="180"/>
      <c r="F27" s="180"/>
      <c r="G27" s="180"/>
      <c r="H27" s="180"/>
    </row>
    <row r="28" spans="1:8" x14ac:dyDescent="0.2">
      <c r="A28" s="180" t="s">
        <v>2814</v>
      </c>
      <c r="B28" s="180"/>
      <c r="C28" s="180"/>
      <c r="D28" s="180"/>
      <c r="E28" s="180"/>
      <c r="F28" s="180"/>
      <c r="G28" s="180"/>
      <c r="H28" s="180"/>
    </row>
    <row r="29" spans="1:8" x14ac:dyDescent="0.2">
      <c r="A29" s="180" t="s">
        <v>2815</v>
      </c>
      <c r="B29" s="180"/>
      <c r="C29" s="180"/>
      <c r="D29" s="180"/>
      <c r="E29" s="180"/>
      <c r="F29" s="180"/>
      <c r="G29" s="180"/>
      <c r="H29" s="180"/>
    </row>
    <row r="30" spans="1:8" x14ac:dyDescent="0.2">
      <c r="A30" s="43" t="s">
        <v>1729</v>
      </c>
    </row>
    <row r="32" spans="1:8" x14ac:dyDescent="0.2">
      <c r="B32" s="59" t="s">
        <v>1134</v>
      </c>
      <c r="C32" s="59" t="s">
        <v>1730</v>
      </c>
    </row>
    <row r="33" spans="1:6" x14ac:dyDescent="0.2">
      <c r="A33" s="43" t="s">
        <v>2820</v>
      </c>
      <c r="B33" s="43" t="s">
        <v>1731</v>
      </c>
      <c r="C33" s="43">
        <v>100</v>
      </c>
      <c r="E33" s="201"/>
    </row>
    <row r="34" spans="1:6" x14ac:dyDescent="0.2">
      <c r="A34" s="43" t="s">
        <v>2816</v>
      </c>
      <c r="B34" s="43" t="s">
        <v>1732</v>
      </c>
      <c r="C34" s="43">
        <v>120</v>
      </c>
    </row>
    <row r="35" spans="1:6" x14ac:dyDescent="0.2">
      <c r="A35" s="43" t="s">
        <v>2817</v>
      </c>
      <c r="B35" s="43" t="s">
        <v>1733</v>
      </c>
      <c r="C35" s="43">
        <v>110</v>
      </c>
    </row>
    <row r="36" spans="1:6" x14ac:dyDescent="0.2">
      <c r="A36" s="43" t="s">
        <v>2818</v>
      </c>
      <c r="B36" s="43" t="s">
        <v>1734</v>
      </c>
      <c r="C36" s="43">
        <v>121</v>
      </c>
    </row>
    <row r="37" spans="1:6" x14ac:dyDescent="0.2">
      <c r="A37" s="43" t="s">
        <v>2819</v>
      </c>
      <c r="B37" s="43" t="s">
        <v>1735</v>
      </c>
      <c r="C37" s="43">
        <v>121</v>
      </c>
    </row>
    <row r="39" spans="1:6" x14ac:dyDescent="0.2">
      <c r="A39" s="43" t="s">
        <v>1736</v>
      </c>
    </row>
    <row r="40" spans="1:6" x14ac:dyDescent="0.2">
      <c r="A40" s="43" t="s">
        <v>2822</v>
      </c>
    </row>
    <row r="42" spans="1:6" x14ac:dyDescent="0.2">
      <c r="A42" s="44" t="s">
        <v>1737</v>
      </c>
    </row>
    <row r="43" spans="1:6" x14ac:dyDescent="0.2">
      <c r="A43" s="43" t="s">
        <v>2821</v>
      </c>
    </row>
    <row r="44" spans="1:6" x14ac:dyDescent="0.2">
      <c r="A44" s="44"/>
    </row>
    <row r="45" spans="1:6" x14ac:dyDescent="0.2">
      <c r="A45" s="646"/>
    </row>
    <row r="46" spans="1:6" x14ac:dyDescent="0.2">
      <c r="A46" s="44"/>
    </row>
    <row r="47" spans="1:6" x14ac:dyDescent="0.2">
      <c r="B47" s="49" t="s">
        <v>1134</v>
      </c>
      <c r="C47" s="49" t="s">
        <v>1730</v>
      </c>
      <c r="D47" s="49" t="s">
        <v>1738</v>
      </c>
      <c r="F47" s="43" t="s">
        <v>1739</v>
      </c>
    </row>
    <row r="48" spans="1:6" x14ac:dyDescent="0.2">
      <c r="B48" s="47" t="s">
        <v>1731</v>
      </c>
      <c r="C48" s="47">
        <v>100</v>
      </c>
      <c r="D48" s="47"/>
      <c r="F48" s="43" t="s">
        <v>1740</v>
      </c>
    </row>
    <row r="49" spans="1:9" x14ac:dyDescent="0.2">
      <c r="B49" s="47" t="s">
        <v>1732</v>
      </c>
      <c r="C49" s="47">
        <v>120</v>
      </c>
      <c r="D49" s="203">
        <f>C49/C48-1</f>
        <v>0.19999999999999996</v>
      </c>
      <c r="F49" s="43" t="s">
        <v>1741</v>
      </c>
    </row>
    <row r="50" spans="1:9" x14ac:dyDescent="0.2">
      <c r="B50" s="47" t="s">
        <v>1733</v>
      </c>
      <c r="C50" s="47">
        <v>110</v>
      </c>
      <c r="D50" s="203">
        <f>C50/C49-1</f>
        <v>-8.333333333333337E-2</v>
      </c>
      <c r="F50" s="43" t="s">
        <v>1742</v>
      </c>
    </row>
    <row r="51" spans="1:9" x14ac:dyDescent="0.2">
      <c r="B51" s="47" t="s">
        <v>1734</v>
      </c>
      <c r="C51" s="47">
        <v>121</v>
      </c>
      <c r="D51" s="203">
        <f>C51/C50-1</f>
        <v>0.10000000000000009</v>
      </c>
      <c r="F51" s="43" t="s">
        <v>1743</v>
      </c>
    </row>
    <row r="52" spans="1:9" x14ac:dyDescent="0.2">
      <c r="B52" s="47" t="s">
        <v>1735</v>
      </c>
      <c r="C52" s="47">
        <v>121</v>
      </c>
      <c r="D52" s="203">
        <f t="shared" ref="D52" si="0">C52/C51-1</f>
        <v>0</v>
      </c>
      <c r="F52" s="43" t="s">
        <v>1744</v>
      </c>
    </row>
    <row r="54" spans="1:9" x14ac:dyDescent="0.2">
      <c r="A54" s="44" t="s">
        <v>1745</v>
      </c>
    </row>
    <row r="55" spans="1:9" x14ac:dyDescent="0.2">
      <c r="A55" s="44"/>
      <c r="D55" s="47" t="s">
        <v>1738</v>
      </c>
      <c r="E55" s="47" t="s">
        <v>1738</v>
      </c>
    </row>
    <row r="56" spans="1:9" x14ac:dyDescent="0.2">
      <c r="A56" s="44"/>
      <c r="B56" s="49" t="s">
        <v>1134</v>
      </c>
      <c r="C56" s="49" t="s">
        <v>1730</v>
      </c>
      <c r="D56" s="49" t="s">
        <v>1746</v>
      </c>
      <c r="E56" s="49" t="s">
        <v>2824</v>
      </c>
    </row>
    <row r="57" spans="1:9" x14ac:dyDescent="0.2">
      <c r="A57" s="44"/>
      <c r="B57" s="47" t="s">
        <v>1731</v>
      </c>
      <c r="C57" s="47">
        <v>100</v>
      </c>
      <c r="D57" s="204"/>
      <c r="E57" s="204"/>
      <c r="H57" s="43" t="s">
        <v>2825</v>
      </c>
    </row>
    <row r="58" spans="1:9" x14ac:dyDescent="0.2">
      <c r="A58" s="44"/>
      <c r="B58" s="47" t="s">
        <v>1732</v>
      </c>
      <c r="C58" s="47">
        <v>120</v>
      </c>
      <c r="D58" s="152">
        <f>C58/C57-1</f>
        <v>0.19999999999999996</v>
      </c>
      <c r="E58" s="523">
        <f>D58+1</f>
        <v>1.2</v>
      </c>
      <c r="F58" s="43" t="s">
        <v>3345</v>
      </c>
    </row>
    <row r="59" spans="1:9" x14ac:dyDescent="0.2">
      <c r="A59" s="44"/>
      <c r="B59" s="47" t="s">
        <v>1733</v>
      </c>
      <c r="C59" s="47">
        <v>110</v>
      </c>
      <c r="D59" s="152">
        <f>C59/C58-1</f>
        <v>-8.333333333333337E-2</v>
      </c>
      <c r="E59" s="523">
        <f>D59+1</f>
        <v>0.91666666666666663</v>
      </c>
      <c r="F59" s="43" t="s">
        <v>3346</v>
      </c>
    </row>
    <row r="60" spans="1:9" x14ac:dyDescent="0.2">
      <c r="A60" s="44"/>
      <c r="B60" s="47" t="s">
        <v>1734</v>
      </c>
      <c r="C60" s="47">
        <v>121</v>
      </c>
      <c r="D60" s="152">
        <f>C60/C59-1</f>
        <v>0.10000000000000009</v>
      </c>
      <c r="E60" s="523">
        <f>D60+1</f>
        <v>1.1000000000000001</v>
      </c>
      <c r="G60" s="43" t="s">
        <v>1747</v>
      </c>
    </row>
    <row r="61" spans="1:9" x14ac:dyDescent="0.2">
      <c r="B61" s="47" t="s">
        <v>1735</v>
      </c>
      <c r="C61" s="47">
        <v>121</v>
      </c>
      <c r="D61" s="152">
        <f>C61/C60-1</f>
        <v>0</v>
      </c>
      <c r="E61" s="523">
        <f>D61+1</f>
        <v>1</v>
      </c>
      <c r="G61" s="524">
        <f>PRODUCT(E58:E61)-1</f>
        <v>0.20999999999999996</v>
      </c>
      <c r="I61" s="452" t="s">
        <v>3347</v>
      </c>
    </row>
    <row r="63" spans="1:9" x14ac:dyDescent="0.2">
      <c r="A63" s="43" t="s">
        <v>1748</v>
      </c>
    </row>
    <row r="64" spans="1:9" x14ac:dyDescent="0.2">
      <c r="A64" s="43" t="s">
        <v>1749</v>
      </c>
    </row>
    <row r="65" spans="1:8" x14ac:dyDescent="0.2">
      <c r="G65" s="43" t="str">
        <f ca="1">_xlfn.FORMULATEXT(G61)</f>
        <v>=PRODUCT(E58:E61)-1</v>
      </c>
    </row>
    <row r="66" spans="1:8" x14ac:dyDescent="0.2">
      <c r="A66" s="44" t="s">
        <v>2823</v>
      </c>
    </row>
    <row r="67" spans="1:8" x14ac:dyDescent="0.2">
      <c r="A67" s="43" t="s">
        <v>1750</v>
      </c>
    </row>
    <row r="68" spans="1:8" x14ac:dyDescent="0.2">
      <c r="A68" s="43" t="s">
        <v>1751</v>
      </c>
    </row>
    <row r="69" spans="1:8" x14ac:dyDescent="0.2">
      <c r="C69" s="206">
        <f>C61/C57-1</f>
        <v>0.20999999999999996</v>
      </c>
      <c r="F69" s="43" t="s">
        <v>1752</v>
      </c>
    </row>
    <row r="71" spans="1:8" x14ac:dyDescent="0.2">
      <c r="A71" s="180" t="s">
        <v>3348</v>
      </c>
      <c r="B71" s="180"/>
      <c r="C71" s="180"/>
      <c r="D71" s="180"/>
      <c r="E71" s="180"/>
      <c r="F71" s="180"/>
      <c r="G71" s="180"/>
      <c r="H71" s="180"/>
    </row>
    <row r="72" spans="1:8" x14ac:dyDescent="0.2">
      <c r="A72" s="43" t="s">
        <v>1753</v>
      </c>
    </row>
    <row r="73" spans="1:8" x14ac:dyDescent="0.2">
      <c r="A73" s="43" t="s">
        <v>1754</v>
      </c>
    </row>
    <row r="74" spans="1:8" x14ac:dyDescent="0.2">
      <c r="A74" s="43" t="s">
        <v>1755</v>
      </c>
    </row>
    <row r="75" spans="1:8" ht="16" thickBot="1" x14ac:dyDescent="0.25"/>
    <row r="76" spans="1:8" ht="16" thickBot="1" x14ac:dyDescent="0.25">
      <c r="A76" s="207" t="s">
        <v>111</v>
      </c>
      <c r="B76" s="67"/>
      <c r="C76" s="67"/>
      <c r="D76" s="67"/>
      <c r="E76" s="67"/>
      <c r="F76" s="67"/>
      <c r="G76" s="67"/>
      <c r="H76" s="208"/>
    </row>
    <row r="77" spans="1:8" x14ac:dyDescent="0.2">
      <c r="A77" s="44" t="s">
        <v>2826</v>
      </c>
    </row>
    <row r="78" spans="1:8" x14ac:dyDescent="0.2">
      <c r="A78" s="44"/>
    </row>
    <row r="79" spans="1:8" x14ac:dyDescent="0.2">
      <c r="A79" s="44" t="s">
        <v>2827</v>
      </c>
    </row>
    <row r="80" spans="1:8" x14ac:dyDescent="0.2">
      <c r="A80" s="44" t="s">
        <v>2828</v>
      </c>
    </row>
    <row r="81" spans="1:8" x14ac:dyDescent="0.2">
      <c r="A81" s="44"/>
    </row>
    <row r="82" spans="1:8" x14ac:dyDescent="0.2">
      <c r="A82" s="43" t="s">
        <v>2829</v>
      </c>
    </row>
    <row r="83" spans="1:8" x14ac:dyDescent="0.2">
      <c r="A83" s="44"/>
    </row>
    <row r="84" spans="1:8" x14ac:dyDescent="0.2">
      <c r="A84" s="44"/>
      <c r="H84" s="43" t="s">
        <v>3353</v>
      </c>
    </row>
    <row r="85" spans="1:8" x14ac:dyDescent="0.2">
      <c r="A85" s="44"/>
      <c r="D85" s="647">
        <f>105.7/103.1-1</f>
        <v>2.5218234723569433E-2</v>
      </c>
      <c r="H85" s="43" t="s">
        <v>3354</v>
      </c>
    </row>
    <row r="86" spans="1:8" x14ac:dyDescent="0.2">
      <c r="A86" s="44"/>
      <c r="H86" s="43" t="s">
        <v>3356</v>
      </c>
    </row>
    <row r="87" spans="1:8" x14ac:dyDescent="0.2">
      <c r="A87" s="44"/>
      <c r="H87" s="43" t="s">
        <v>3355</v>
      </c>
    </row>
    <row r="88" spans="1:8" x14ac:dyDescent="0.2">
      <c r="A88" s="43" t="s">
        <v>3357</v>
      </c>
    </row>
    <row r="89" spans="1:8" x14ac:dyDescent="0.2">
      <c r="A89" s="44"/>
      <c r="D89" s="43" t="s">
        <v>2831</v>
      </c>
      <c r="F89" s="43" t="s">
        <v>2830</v>
      </c>
      <c r="H89" s="43" t="s">
        <v>3358</v>
      </c>
    </row>
    <row r="90" spans="1:8" x14ac:dyDescent="0.2">
      <c r="A90" s="44"/>
      <c r="H90" s="43" t="s">
        <v>3359</v>
      </c>
    </row>
    <row r="91" spans="1:8" x14ac:dyDescent="0.2">
      <c r="A91" s="44"/>
      <c r="H91" s="43" t="s">
        <v>3360</v>
      </c>
    </row>
    <row r="92" spans="1:8" x14ac:dyDescent="0.2">
      <c r="A92" s="43" t="s">
        <v>2832</v>
      </c>
    </row>
    <row r="93" spans="1:8" x14ac:dyDescent="0.2">
      <c r="A93" s="44"/>
      <c r="D93" s="648">
        <f>105000*(1+D85)</f>
        <v>107647.91464597479</v>
      </c>
      <c r="F93" s="43" t="s">
        <v>2833</v>
      </c>
      <c r="H93" s="43" t="s">
        <v>3361</v>
      </c>
    </row>
    <row r="94" spans="1:8" x14ac:dyDescent="0.2">
      <c r="A94" s="44"/>
    </row>
    <row r="95" spans="1:8" x14ac:dyDescent="0.2">
      <c r="A95" s="44"/>
      <c r="F95" s="43" t="s">
        <v>3350</v>
      </c>
    </row>
    <row r="96" spans="1:8" x14ac:dyDescent="0.2">
      <c r="A96" s="44" t="s">
        <v>2834</v>
      </c>
      <c r="G96" s="47" t="s">
        <v>3349</v>
      </c>
    </row>
    <row r="97" spans="1:8" s="288" customFormat="1" x14ac:dyDescent="0.2">
      <c r="A97" s="526"/>
      <c r="B97" s="525"/>
      <c r="C97" s="525"/>
      <c r="D97" s="649">
        <f>D93</f>
        <v>107647.91464597479</v>
      </c>
      <c r="E97" s="525"/>
      <c r="F97" s="525"/>
      <c r="G97" s="525"/>
    </row>
    <row r="98" spans="1:8" x14ac:dyDescent="0.2">
      <c r="A98" s="441" t="s">
        <v>1756</v>
      </c>
      <c r="B98" s="441"/>
      <c r="C98" s="441"/>
      <c r="D98" s="441"/>
      <c r="E98" s="441"/>
      <c r="F98" s="441"/>
      <c r="G98" s="441"/>
      <c r="H98" s="441"/>
    </row>
    <row r="99" spans="1:8" x14ac:dyDescent="0.2">
      <c r="A99" s="441"/>
      <c r="B99" s="441"/>
      <c r="C99" s="441"/>
      <c r="D99" s="441"/>
      <c r="E99" s="288" t="s">
        <v>3351</v>
      </c>
      <c r="F99" s="441"/>
      <c r="G99" s="441"/>
      <c r="H99" s="441"/>
    </row>
    <row r="100" spans="1:8" x14ac:dyDescent="0.2">
      <c r="A100" s="441"/>
      <c r="B100" s="441"/>
      <c r="C100" s="441"/>
      <c r="D100" s="441"/>
      <c r="E100" s="288" t="s">
        <v>3352</v>
      </c>
      <c r="F100" s="441"/>
      <c r="G100" s="441"/>
      <c r="H100" s="441"/>
    </row>
    <row r="101" spans="1:8" x14ac:dyDescent="0.2">
      <c r="A101" s="441"/>
      <c r="B101" s="441"/>
      <c r="C101" s="441"/>
      <c r="D101" s="441"/>
      <c r="E101" s="441"/>
      <c r="F101" s="441"/>
      <c r="G101" s="441"/>
      <c r="H101" s="441"/>
    </row>
    <row r="102" spans="1:8" x14ac:dyDescent="0.2">
      <c r="A102" s="525" t="s">
        <v>2835</v>
      </c>
      <c r="B102" s="650"/>
      <c r="C102" s="650"/>
      <c r="D102" s="650"/>
      <c r="E102" s="650"/>
      <c r="F102" s="650"/>
      <c r="G102" s="441"/>
      <c r="H102" s="441"/>
    </row>
    <row r="103" spans="1:8" x14ac:dyDescent="0.2">
      <c r="A103" s="525" t="s">
        <v>2836</v>
      </c>
      <c r="B103" s="650"/>
      <c r="C103" s="650"/>
      <c r="D103" s="650"/>
      <c r="E103" s="650"/>
      <c r="F103" s="650"/>
      <c r="G103" s="441"/>
      <c r="H103" s="441"/>
    </row>
    <row r="104" spans="1:8" x14ac:dyDescent="0.2">
      <c r="A104" s="288"/>
      <c r="B104" s="441"/>
      <c r="C104" s="441"/>
      <c r="D104" s="441"/>
      <c r="E104" s="441"/>
      <c r="F104" s="441"/>
      <c r="G104" s="441"/>
      <c r="H104" s="441"/>
    </row>
    <row r="106" spans="1:8" ht="18" x14ac:dyDescent="0.2">
      <c r="A106" s="645" t="s">
        <v>1757</v>
      </c>
      <c r="B106" s="180"/>
      <c r="C106" s="180"/>
      <c r="D106" s="180"/>
      <c r="E106" s="180"/>
      <c r="F106" s="180"/>
      <c r="G106" s="180"/>
      <c r="H106" s="180"/>
    </row>
    <row r="107" spans="1:8" x14ac:dyDescent="0.2">
      <c r="A107" s="180" t="s">
        <v>2837</v>
      </c>
      <c r="B107" s="180"/>
      <c r="C107" s="180"/>
      <c r="D107" s="180"/>
      <c r="E107" s="180"/>
      <c r="F107" s="180"/>
      <c r="G107" s="180"/>
      <c r="H107" s="180"/>
    </row>
    <row r="108" spans="1:8" x14ac:dyDescent="0.2">
      <c r="A108" s="180" t="s">
        <v>2838</v>
      </c>
      <c r="B108" s="180"/>
      <c r="C108" s="180"/>
      <c r="D108" s="180"/>
      <c r="E108" s="180"/>
      <c r="F108" s="180"/>
      <c r="G108" s="180"/>
      <c r="H108" s="180"/>
    </row>
    <row r="109" spans="1:8" x14ac:dyDescent="0.2">
      <c r="A109" s="180" t="s">
        <v>2839</v>
      </c>
      <c r="B109" s="180"/>
      <c r="C109" s="180"/>
      <c r="D109" s="180"/>
      <c r="E109" s="180"/>
      <c r="F109" s="180"/>
      <c r="G109" s="180"/>
      <c r="H109" s="180"/>
    </row>
    <row r="110" spans="1:8" x14ac:dyDescent="0.2">
      <c r="A110" s="43" t="s">
        <v>1758</v>
      </c>
    </row>
    <row r="111" spans="1:8" x14ac:dyDescent="0.2">
      <c r="A111" s="43" t="s">
        <v>1759</v>
      </c>
    </row>
    <row r="112" spans="1:8" x14ac:dyDescent="0.2">
      <c r="A112" s="43" t="s">
        <v>1760</v>
      </c>
    </row>
    <row r="114" spans="1:8" x14ac:dyDescent="0.2">
      <c r="A114" s="43" t="s">
        <v>321</v>
      </c>
    </row>
    <row r="115" spans="1:8" x14ac:dyDescent="0.2">
      <c r="A115" s="43" t="s">
        <v>2842</v>
      </c>
    </row>
    <row r="117" spans="1:8" x14ac:dyDescent="0.2">
      <c r="A117" s="43" t="s">
        <v>111</v>
      </c>
    </row>
    <row r="118" spans="1:8" x14ac:dyDescent="0.2">
      <c r="A118" s="43" t="s">
        <v>1761</v>
      </c>
    </row>
    <row r="119" spans="1:8" x14ac:dyDescent="0.2">
      <c r="A119" s="79" t="s">
        <v>1762</v>
      </c>
      <c r="B119" s="44"/>
      <c r="C119" s="44"/>
      <c r="D119" s="44"/>
      <c r="E119" s="44"/>
      <c r="F119" s="44"/>
      <c r="G119" s="44"/>
      <c r="H119" s="44"/>
    </row>
    <row r="120" spans="1:8" x14ac:dyDescent="0.2">
      <c r="A120" s="44" t="s">
        <v>1763</v>
      </c>
      <c r="B120" s="44"/>
      <c r="C120" s="44"/>
      <c r="D120" s="44"/>
      <c r="E120" s="44"/>
      <c r="F120" s="44"/>
      <c r="G120" s="44"/>
      <c r="H120" s="44"/>
    </row>
    <row r="121" spans="1:8" x14ac:dyDescent="0.2">
      <c r="A121" s="44"/>
      <c r="B121" s="44"/>
      <c r="C121" s="44"/>
      <c r="D121" s="44"/>
      <c r="E121" s="44"/>
      <c r="F121" s="44"/>
      <c r="G121" s="44"/>
      <c r="H121" s="44"/>
    </row>
    <row r="122" spans="1:8" x14ac:dyDescent="0.2">
      <c r="A122" s="43" t="s">
        <v>1764</v>
      </c>
    </row>
    <row r="123" spans="1:8" x14ac:dyDescent="0.2">
      <c r="A123" s="43" t="s">
        <v>1765</v>
      </c>
    </row>
    <row r="125" spans="1:8" x14ac:dyDescent="0.2">
      <c r="A125" s="43" t="s">
        <v>1766</v>
      </c>
    </row>
    <row r="126" spans="1:8" x14ac:dyDescent="0.2">
      <c r="A126" s="44" t="s">
        <v>1767</v>
      </c>
      <c r="B126" s="44"/>
      <c r="C126" s="44"/>
      <c r="D126" s="44"/>
      <c r="E126" s="44"/>
    </row>
    <row r="127" spans="1:8" x14ac:dyDescent="0.2">
      <c r="H127" s="43" t="s">
        <v>3362</v>
      </c>
    </row>
    <row r="130" spans="1:10" x14ac:dyDescent="0.2">
      <c r="H130" s="43" t="s">
        <v>3363</v>
      </c>
    </row>
    <row r="133" spans="1:10" x14ac:dyDescent="0.2">
      <c r="H133" s="43" t="s">
        <v>3364</v>
      </c>
    </row>
    <row r="134" spans="1:10" x14ac:dyDescent="0.2">
      <c r="H134" s="43" t="s">
        <v>3365</v>
      </c>
    </row>
    <row r="136" spans="1:10" x14ac:dyDescent="0.2">
      <c r="A136" s="43" t="s">
        <v>2840</v>
      </c>
      <c r="H136" s="44" t="s">
        <v>3366</v>
      </c>
    </row>
    <row r="137" spans="1:10" x14ac:dyDescent="0.2">
      <c r="A137" s="43" t="s">
        <v>2841</v>
      </c>
      <c r="H137" s="44" t="s">
        <v>3367</v>
      </c>
      <c r="I137" s="44"/>
      <c r="J137" s="44"/>
    </row>
    <row r="138" spans="1:10" x14ac:dyDescent="0.2">
      <c r="H138" s="44" t="s">
        <v>3368</v>
      </c>
      <c r="I138" s="44"/>
      <c r="J138" s="44"/>
    </row>
    <row r="139" spans="1:10" x14ac:dyDescent="0.2">
      <c r="A139" s="44" t="s">
        <v>1768</v>
      </c>
    </row>
    <row r="141" spans="1:10" x14ac:dyDescent="0.2">
      <c r="A141" s="44" t="s">
        <v>1769</v>
      </c>
    </row>
    <row r="142" spans="1:10" x14ac:dyDescent="0.2">
      <c r="A142" s="43" t="s">
        <v>3369</v>
      </c>
    </row>
    <row r="143" spans="1:10" x14ac:dyDescent="0.2">
      <c r="A143" s="43" t="s">
        <v>3370</v>
      </c>
    </row>
    <row r="144" spans="1:10" x14ac:dyDescent="0.2">
      <c r="A144" s="43" t="s">
        <v>3371</v>
      </c>
    </row>
    <row r="145" spans="1:9" x14ac:dyDescent="0.2">
      <c r="A145" s="43" t="s">
        <v>3372</v>
      </c>
    </row>
    <row r="147" spans="1:9" x14ac:dyDescent="0.2">
      <c r="A147" s="180" t="s">
        <v>1770</v>
      </c>
      <c r="B147" s="180"/>
      <c r="C147" s="180"/>
      <c r="D147" s="180"/>
      <c r="E147" s="180"/>
      <c r="F147" s="180"/>
      <c r="G147" s="180"/>
      <c r="H147" s="180"/>
    </row>
    <row r="148" spans="1:9" x14ac:dyDescent="0.2">
      <c r="A148" s="43" t="s">
        <v>1771</v>
      </c>
    </row>
    <row r="149" spans="1:9" x14ac:dyDescent="0.2">
      <c r="A149" s="43" t="s">
        <v>1772</v>
      </c>
    </row>
    <row r="150" spans="1:9" x14ac:dyDescent="0.2">
      <c r="A150" s="43" t="s">
        <v>1773</v>
      </c>
    </row>
    <row r="151" spans="1:9" x14ac:dyDescent="0.2">
      <c r="A151" s="43" t="s">
        <v>1774</v>
      </c>
      <c r="I151"/>
    </row>
    <row r="152" spans="1:9" x14ac:dyDescent="0.2">
      <c r="I152"/>
    </row>
    <row r="153" spans="1:9" x14ac:dyDescent="0.2">
      <c r="A153" s="43" t="s">
        <v>1775</v>
      </c>
      <c r="I153"/>
    </row>
    <row r="154" spans="1:9" x14ac:dyDescent="0.2">
      <c r="A154" s="43" t="s">
        <v>1776</v>
      </c>
      <c r="H154" s="43" t="s">
        <v>2843</v>
      </c>
      <c r="I154"/>
    </row>
    <row r="155" spans="1:9" x14ac:dyDescent="0.2">
      <c r="A155" s="43" t="s">
        <v>1777</v>
      </c>
      <c r="I155"/>
    </row>
    <row r="156" spans="1:9" x14ac:dyDescent="0.2">
      <c r="E156" s="76">
        <f>10000*1.06*1.0283</f>
        <v>10899.98</v>
      </c>
      <c r="H156" s="43" t="s">
        <v>2844</v>
      </c>
      <c r="I156"/>
    </row>
    <row r="157" spans="1:9" x14ac:dyDescent="0.2">
      <c r="I157"/>
    </row>
    <row r="158" spans="1:9" x14ac:dyDescent="0.2">
      <c r="A158" s="43" t="s">
        <v>2845</v>
      </c>
      <c r="I158"/>
    </row>
    <row r="159" spans="1:9" x14ac:dyDescent="0.2">
      <c r="I159"/>
    </row>
    <row r="160" spans="1:9" x14ac:dyDescent="0.2">
      <c r="A160" s="180" t="s">
        <v>3373</v>
      </c>
      <c r="B160" s="180"/>
      <c r="C160" s="180"/>
      <c r="D160" s="180"/>
      <c r="E160" s="180"/>
      <c r="F160" s="180"/>
      <c r="G160" s="180"/>
      <c r="H160" s="180"/>
      <c r="I160"/>
    </row>
    <row r="161" spans="1:9" x14ac:dyDescent="0.2">
      <c r="A161" s="43" t="s">
        <v>2848</v>
      </c>
      <c r="I161"/>
    </row>
    <row r="162" spans="1:9" x14ac:dyDescent="0.2">
      <c r="A162" s="43" t="s">
        <v>1778</v>
      </c>
      <c r="I162"/>
    </row>
    <row r="163" spans="1:9" x14ac:dyDescent="0.2">
      <c r="A163" s="43" t="s">
        <v>3408</v>
      </c>
      <c r="I163"/>
    </row>
    <row r="164" spans="1:9" x14ac:dyDescent="0.2">
      <c r="A164" s="43" t="s">
        <v>1779</v>
      </c>
      <c r="I164"/>
    </row>
    <row r="165" spans="1:9" x14ac:dyDescent="0.2">
      <c r="I165"/>
    </row>
    <row r="166" spans="1:9" x14ac:dyDescent="0.2">
      <c r="A166" s="43" t="s">
        <v>111</v>
      </c>
      <c r="I166"/>
    </row>
    <row r="167" spans="1:9" x14ac:dyDescent="0.2">
      <c r="A167" s="43" t="s">
        <v>2846</v>
      </c>
      <c r="I167"/>
    </row>
    <row r="168" spans="1:9" x14ac:dyDescent="0.2">
      <c r="A168" s="43" t="s">
        <v>2847</v>
      </c>
      <c r="I168"/>
    </row>
    <row r="169" spans="1:9" x14ac:dyDescent="0.2">
      <c r="A169" s="43" t="s">
        <v>2849</v>
      </c>
      <c r="I169"/>
    </row>
    <row r="170" spans="1:9" x14ac:dyDescent="0.2">
      <c r="A170" s="43" t="s">
        <v>2850</v>
      </c>
      <c r="E170" s="72">
        <v>5.0000000000000001E-3</v>
      </c>
      <c r="F170" s="43" t="s">
        <v>87</v>
      </c>
      <c r="G170" s="43" t="s">
        <v>2852</v>
      </c>
      <c r="I170"/>
    </row>
    <row r="171" spans="1:9" x14ac:dyDescent="0.2">
      <c r="E171" s="47">
        <v>30</v>
      </c>
      <c r="F171" s="43" t="s">
        <v>89</v>
      </c>
      <c r="G171" s="43" t="s">
        <v>2851</v>
      </c>
      <c r="I171"/>
    </row>
    <row r="172" spans="1:9" x14ac:dyDescent="0.2">
      <c r="E172" s="47">
        <v>100000</v>
      </c>
      <c r="F172" s="43" t="s">
        <v>281</v>
      </c>
      <c r="G172" s="43" t="s">
        <v>2853</v>
      </c>
      <c r="I172"/>
    </row>
    <row r="173" spans="1:9" x14ac:dyDescent="0.2">
      <c r="A173" s="43" t="s">
        <v>3374</v>
      </c>
      <c r="E173" s="709">
        <f>PMT(E170,E171,E172,E174)</f>
        <v>-3597.8918413828028</v>
      </c>
      <c r="F173" s="43" t="s">
        <v>91</v>
      </c>
      <c r="G173" s="43" t="s">
        <v>2855</v>
      </c>
      <c r="I173"/>
    </row>
    <row r="174" spans="1:9" x14ac:dyDescent="0.2">
      <c r="E174" s="47">
        <v>0</v>
      </c>
      <c r="F174" s="43" t="s">
        <v>105</v>
      </c>
      <c r="G174" s="43" t="s">
        <v>2854</v>
      </c>
      <c r="I174"/>
    </row>
    <row r="175" spans="1:9" ht="16" thickBot="1" x14ac:dyDescent="0.25">
      <c r="I175"/>
    </row>
    <row r="176" spans="1:9" ht="16" thickBot="1" x14ac:dyDescent="0.25">
      <c r="A176" s="43" t="s">
        <v>1780</v>
      </c>
      <c r="F176" s="209">
        <f>-E173*1.011</f>
        <v>3637.4686516380134</v>
      </c>
      <c r="H176" s="43" t="s">
        <v>1781</v>
      </c>
      <c r="I176"/>
    </row>
    <row r="177" spans="1:9" x14ac:dyDescent="0.2">
      <c r="I177"/>
    </row>
    <row r="178" spans="1:9" x14ac:dyDescent="0.2">
      <c r="G178" s="43" t="s">
        <v>3375</v>
      </c>
      <c r="I178"/>
    </row>
    <row r="179" spans="1:9" x14ac:dyDescent="0.2">
      <c r="I179"/>
    </row>
    <row r="180" spans="1:9" x14ac:dyDescent="0.2">
      <c r="B180" s="43" t="s">
        <v>2856</v>
      </c>
      <c r="I180"/>
    </row>
    <row r="181" spans="1:9" x14ac:dyDescent="0.2">
      <c r="I181"/>
    </row>
    <row r="182" spans="1:9" ht="16" thickBot="1" x14ac:dyDescent="0.25">
      <c r="A182" s="43" t="s">
        <v>3376</v>
      </c>
      <c r="I182"/>
    </row>
    <row r="183" spans="1:9" ht="16" thickBot="1" x14ac:dyDescent="0.25">
      <c r="F183" s="209">
        <f>-E173*114.4/110</f>
        <v>3741.8075150381151</v>
      </c>
      <c r="G183" s="753" t="s">
        <v>3377</v>
      </c>
      <c r="H183" s="721"/>
      <c r="I183" s="721"/>
    </row>
    <row r="184" spans="1:9" x14ac:dyDescent="0.2">
      <c r="I184"/>
    </row>
    <row r="185" spans="1:9" x14ac:dyDescent="0.2">
      <c r="I185"/>
    </row>
    <row r="186" spans="1:9" x14ac:dyDescent="0.2">
      <c r="I186"/>
    </row>
    <row r="187" spans="1:9" x14ac:dyDescent="0.2">
      <c r="I187"/>
    </row>
    <row r="188" spans="1:9" x14ac:dyDescent="0.2">
      <c r="A188" s="43" t="s">
        <v>2857</v>
      </c>
      <c r="I188"/>
    </row>
    <row r="189" spans="1:9" x14ac:dyDescent="0.2">
      <c r="F189" s="651">
        <f>114.4/110-1</f>
        <v>4.0000000000000036E-2</v>
      </c>
      <c r="H189" s="43" t="s">
        <v>2858</v>
      </c>
      <c r="I189"/>
    </row>
    <row r="190" spans="1:9" x14ac:dyDescent="0.2">
      <c r="I190"/>
    </row>
    <row r="191" spans="1:9" x14ac:dyDescent="0.2">
      <c r="F191" s="43" t="s">
        <v>3380</v>
      </c>
      <c r="H191" s="43" t="s">
        <v>2820</v>
      </c>
      <c r="I191" t="s">
        <v>3378</v>
      </c>
    </row>
    <row r="192" spans="1:9" x14ac:dyDescent="0.2">
      <c r="F192" s="43" t="s">
        <v>3381</v>
      </c>
      <c r="H192" s="43" t="s">
        <v>3379</v>
      </c>
      <c r="I192"/>
    </row>
    <row r="193" spans="1:9" ht="16" thickBot="1" x14ac:dyDescent="0.25">
      <c r="A193" s="43" t="s">
        <v>2859</v>
      </c>
    </row>
    <row r="194" spans="1:9" ht="16" thickBot="1" x14ac:dyDescent="0.25">
      <c r="F194" s="652">
        <f>F183</f>
        <v>3741.8075150381151</v>
      </c>
      <c r="H194" s="43" t="s">
        <v>2860</v>
      </c>
      <c r="I194"/>
    </row>
    <row r="195" spans="1:9" x14ac:dyDescent="0.2">
      <c r="I195"/>
    </row>
    <row r="196" spans="1:9" x14ac:dyDescent="0.2">
      <c r="I196"/>
    </row>
    <row r="197" spans="1:9" x14ac:dyDescent="0.2">
      <c r="I197"/>
    </row>
    <row r="198" spans="1:9" x14ac:dyDescent="0.2">
      <c r="A198" s="44" t="s">
        <v>1782</v>
      </c>
      <c r="B198" s="43" t="s">
        <v>3382</v>
      </c>
      <c r="I198"/>
    </row>
    <row r="199" spans="1:9" x14ac:dyDescent="0.2">
      <c r="B199" s="43" t="s">
        <v>3383</v>
      </c>
      <c r="I199"/>
    </row>
    <row r="200" spans="1:9" x14ac:dyDescent="0.2">
      <c r="B200" s="43" t="s">
        <v>3391</v>
      </c>
      <c r="I200"/>
    </row>
    <row r="201" spans="1:9" x14ac:dyDescent="0.2">
      <c r="I201"/>
    </row>
    <row r="202" spans="1:9" x14ac:dyDescent="0.2">
      <c r="B202" s="43" t="s">
        <v>3384</v>
      </c>
      <c r="E202" s="161"/>
      <c r="I202"/>
    </row>
    <row r="203" spans="1:9" x14ac:dyDescent="0.2">
      <c r="B203" s="43" t="s">
        <v>3385</v>
      </c>
      <c r="I203"/>
    </row>
    <row r="204" spans="1:9" ht="48" x14ac:dyDescent="0.2">
      <c r="B204" s="710" t="s">
        <v>3390</v>
      </c>
      <c r="C204" s="710" t="s">
        <v>3389</v>
      </c>
      <c r="D204" s="710" t="s">
        <v>3387</v>
      </c>
      <c r="E204" s="710" t="s">
        <v>3386</v>
      </c>
      <c r="I204"/>
    </row>
    <row r="205" spans="1:9" x14ac:dyDescent="0.2">
      <c r="D205" s="72">
        <v>5.0000000000000001E-3</v>
      </c>
      <c r="E205" s="72">
        <v>5.0000000000000001E-3</v>
      </c>
      <c r="F205" s="43" t="s">
        <v>87</v>
      </c>
      <c r="I205"/>
    </row>
    <row r="206" spans="1:9" x14ac:dyDescent="0.2">
      <c r="D206" s="47">
        <f>E206-5</f>
        <v>25</v>
      </c>
      <c r="E206" s="47">
        <v>30</v>
      </c>
      <c r="F206" s="43" t="s">
        <v>89</v>
      </c>
      <c r="I206"/>
    </row>
    <row r="207" spans="1:9" x14ac:dyDescent="0.2">
      <c r="D207" s="228">
        <f>E207</f>
        <v>-3597.8918413828028</v>
      </c>
      <c r="E207" s="711">
        <f>PMT(E205,E206,E208,E209)</f>
        <v>-3597.8918413828028</v>
      </c>
      <c r="F207" s="43" t="s">
        <v>91</v>
      </c>
      <c r="I207"/>
    </row>
    <row r="208" spans="1:9" x14ac:dyDescent="0.2">
      <c r="B208" s="713">
        <f>D208*114.4/110</f>
        <v>87729.064581532934</v>
      </c>
      <c r="C208" s="43" t="s">
        <v>3388</v>
      </c>
      <c r="D208" s="712">
        <f>PV(D205,D206,D207,D209)</f>
        <v>84354.869789935503</v>
      </c>
      <c r="E208" s="47">
        <v>100000</v>
      </c>
      <c r="F208" s="43" t="s">
        <v>281</v>
      </c>
      <c r="I208"/>
    </row>
    <row r="209" spans="1:9" x14ac:dyDescent="0.2">
      <c r="D209" s="47">
        <v>0</v>
      </c>
      <c r="E209" s="47">
        <v>0</v>
      </c>
      <c r="F209" s="43" t="s">
        <v>105</v>
      </c>
      <c r="I209"/>
    </row>
    <row r="210" spans="1:9" x14ac:dyDescent="0.2">
      <c r="I210"/>
    </row>
    <row r="211" spans="1:9" x14ac:dyDescent="0.2">
      <c r="I211"/>
    </row>
    <row r="212" spans="1:9" x14ac:dyDescent="0.2">
      <c r="I212"/>
    </row>
    <row r="213" spans="1:9" ht="16" thickBot="1" x14ac:dyDescent="0.25">
      <c r="B213" s="43" t="s">
        <v>1783</v>
      </c>
      <c r="I213"/>
    </row>
    <row r="214" spans="1:9" ht="16" thickBot="1" x14ac:dyDescent="0.25">
      <c r="E214" s="209">
        <f>B208</f>
        <v>87729.064581532934</v>
      </c>
      <c r="H214" s="43" t="s">
        <v>2861</v>
      </c>
      <c r="I214"/>
    </row>
    <row r="215" spans="1:9" x14ac:dyDescent="0.2">
      <c r="I215"/>
    </row>
    <row r="216" spans="1:9" x14ac:dyDescent="0.2">
      <c r="I216"/>
    </row>
    <row r="217" spans="1:9" x14ac:dyDescent="0.2">
      <c r="A217" s="43" t="s">
        <v>2862</v>
      </c>
      <c r="I217"/>
    </row>
    <row r="218" spans="1:9" x14ac:dyDescent="0.2">
      <c r="A218" s="44" t="s">
        <v>2863</v>
      </c>
      <c r="I218"/>
    </row>
    <row r="219" spans="1:9" x14ac:dyDescent="0.2">
      <c r="I219"/>
    </row>
    <row r="220" spans="1:9" x14ac:dyDescent="0.2">
      <c r="A220" s="714" t="s">
        <v>3392</v>
      </c>
      <c r="B220" s="714"/>
      <c r="C220" s="714"/>
      <c r="D220" s="714"/>
      <c r="E220" s="714"/>
      <c r="F220" s="714"/>
      <c r="G220" s="714"/>
      <c r="H220" s="714"/>
      <c r="I220"/>
    </row>
    <row r="221" spans="1:9" x14ac:dyDescent="0.2">
      <c r="H221" s="43" t="s">
        <v>3394</v>
      </c>
      <c r="I221"/>
    </row>
    <row r="222" spans="1:9" x14ac:dyDescent="0.2">
      <c r="A222" s="43" t="s">
        <v>3393</v>
      </c>
      <c r="H222" s="754">
        <v>1</v>
      </c>
      <c r="I222"/>
    </row>
    <row r="223" spans="1:9" x14ac:dyDescent="0.2">
      <c r="A223" s="43" t="s">
        <v>3395</v>
      </c>
      <c r="H223" s="754"/>
      <c r="I223"/>
    </row>
    <row r="224" spans="1:9" x14ac:dyDescent="0.2">
      <c r="B224" s="43" t="s">
        <v>3396</v>
      </c>
      <c r="H224" s="754"/>
      <c r="I224"/>
    </row>
    <row r="225" spans="1:9" x14ac:dyDescent="0.2">
      <c r="B225" s="43" t="s">
        <v>3397</v>
      </c>
      <c r="H225" s="754"/>
      <c r="I225"/>
    </row>
    <row r="226" spans="1:9" x14ac:dyDescent="0.2">
      <c r="A226" s="43" t="s">
        <v>3398</v>
      </c>
      <c r="H226" s="754">
        <v>2</v>
      </c>
      <c r="I226"/>
    </row>
    <row r="227" spans="1:9" x14ac:dyDescent="0.2">
      <c r="B227" s="43" t="s">
        <v>3399</v>
      </c>
      <c r="H227" s="754"/>
      <c r="I227"/>
    </row>
    <row r="228" spans="1:9" x14ac:dyDescent="0.2">
      <c r="B228" s="43" t="s">
        <v>3400</v>
      </c>
      <c r="H228" s="754"/>
      <c r="I228"/>
    </row>
    <row r="229" spans="1:9" x14ac:dyDescent="0.2">
      <c r="A229" s="43" t="s">
        <v>3401</v>
      </c>
      <c r="H229" s="754">
        <v>3</v>
      </c>
      <c r="I229"/>
    </row>
    <row r="230" spans="1:9" x14ac:dyDescent="0.2">
      <c r="A230" s="43" t="s">
        <v>3402</v>
      </c>
      <c r="H230" s="754"/>
      <c r="I230"/>
    </row>
    <row r="231" spans="1:9" x14ac:dyDescent="0.2">
      <c r="A231" s="43" t="s">
        <v>3405</v>
      </c>
      <c r="H231" s="754">
        <v>5</v>
      </c>
      <c r="I231"/>
    </row>
    <row r="232" spans="1:9" x14ac:dyDescent="0.2">
      <c r="B232" s="43" t="s">
        <v>3403</v>
      </c>
      <c r="H232" s="754"/>
      <c r="I232"/>
    </row>
    <row r="233" spans="1:9" x14ac:dyDescent="0.2">
      <c r="B233" s="43" t="s">
        <v>3404</v>
      </c>
      <c r="H233" s="754"/>
      <c r="I233"/>
    </row>
    <row r="234" spans="1:9" x14ac:dyDescent="0.2">
      <c r="A234" s="43" t="s">
        <v>3406</v>
      </c>
      <c r="H234" s="754"/>
      <c r="I234"/>
    </row>
    <row r="235" spans="1:9" x14ac:dyDescent="0.2">
      <c r="B235" s="43" t="s">
        <v>3407</v>
      </c>
      <c r="H235" s="754"/>
      <c r="I235"/>
    </row>
    <row r="236" spans="1:9" x14ac:dyDescent="0.2">
      <c r="I236"/>
    </row>
    <row r="237" spans="1:9" x14ac:dyDescent="0.2">
      <c r="A237" s="181" t="s">
        <v>1784</v>
      </c>
      <c r="B237" s="181"/>
      <c r="C237" s="181"/>
      <c r="D237" s="181"/>
      <c r="E237" s="181" t="s">
        <v>780</v>
      </c>
      <c r="F237" s="181"/>
      <c r="G237" s="181"/>
      <c r="H237" s="181"/>
    </row>
    <row r="238" spans="1:9" x14ac:dyDescent="0.2">
      <c r="A238" s="43" t="s">
        <v>1785</v>
      </c>
    </row>
    <row r="239" spans="1:9" x14ac:dyDescent="0.2">
      <c r="A239" s="59" t="s">
        <v>1134</v>
      </c>
      <c r="B239" s="59" t="s">
        <v>1786</v>
      </c>
    </row>
    <row r="240" spans="1:9" x14ac:dyDescent="0.2">
      <c r="A240" s="43" t="s">
        <v>1787</v>
      </c>
      <c r="B240" s="161">
        <v>5.0000000000000001E-3</v>
      </c>
    </row>
    <row r="241" spans="1:2" x14ac:dyDescent="0.2">
      <c r="A241" s="43" t="s">
        <v>1788</v>
      </c>
      <c r="B241" s="161">
        <v>5.0000000000000001E-3</v>
      </c>
    </row>
    <row r="242" spans="1:2" x14ac:dyDescent="0.2">
      <c r="A242" s="43" t="s">
        <v>1789</v>
      </c>
      <c r="B242" s="161">
        <v>-2E-3</v>
      </c>
    </row>
    <row r="243" spans="1:2" x14ac:dyDescent="0.2">
      <c r="A243" s="43" t="s">
        <v>1790</v>
      </c>
      <c r="B243" s="161">
        <v>-4.0000000000000001E-3</v>
      </c>
    </row>
    <row r="244" spans="1:2" x14ac:dyDescent="0.2">
      <c r="A244" s="43" t="s">
        <v>1791</v>
      </c>
      <c r="B244" s="161">
        <v>-2E-3</v>
      </c>
    </row>
    <row r="245" spans="1:2" x14ac:dyDescent="0.2">
      <c r="A245" s="43" t="s">
        <v>1792</v>
      </c>
      <c r="B245" s="161">
        <v>5.0000000000000001E-3</v>
      </c>
    </row>
    <row r="246" spans="1:2" x14ac:dyDescent="0.2">
      <c r="A246" s="43" t="s">
        <v>1793</v>
      </c>
      <c r="B246" s="161">
        <v>3.0000000000000001E-3</v>
      </c>
    </row>
    <row r="247" spans="1:2" x14ac:dyDescent="0.2">
      <c r="A247" s="43" t="s">
        <v>1794</v>
      </c>
      <c r="B247" s="161">
        <v>-0.02</v>
      </c>
    </row>
    <row r="248" spans="1:2" x14ac:dyDescent="0.2">
      <c r="A248" s="43" t="s">
        <v>1795</v>
      </c>
      <c r="B248" s="161">
        <v>3.0000000000000001E-3</v>
      </c>
    </row>
    <row r="249" spans="1:2" x14ac:dyDescent="0.2">
      <c r="A249" s="43" t="s">
        <v>1796</v>
      </c>
      <c r="B249" s="161">
        <v>5.0000000000000001E-3</v>
      </c>
    </row>
    <row r="250" spans="1:2" x14ac:dyDescent="0.2">
      <c r="A250" s="43" t="s">
        <v>1797</v>
      </c>
      <c r="B250" s="161">
        <v>-2E-3</v>
      </c>
    </row>
    <row r="251" spans="1:2" x14ac:dyDescent="0.2">
      <c r="A251" s="43" t="s">
        <v>1798</v>
      </c>
      <c r="B251" s="161">
        <v>3.0000000000000001E-3</v>
      </c>
    </row>
    <row r="253" spans="1:2" x14ac:dyDescent="0.2">
      <c r="A253" s="43" t="s">
        <v>321</v>
      </c>
    </row>
    <row r="254" spans="1:2" x14ac:dyDescent="0.2">
      <c r="A254" s="43" t="s">
        <v>1799</v>
      </c>
    </row>
    <row r="255" spans="1:2" x14ac:dyDescent="0.2">
      <c r="A255" s="43" t="s">
        <v>1800</v>
      </c>
    </row>
    <row r="257" spans="1:8" x14ac:dyDescent="0.2">
      <c r="A257" s="44" t="s">
        <v>2864</v>
      </c>
    </row>
    <row r="258" spans="1:8" x14ac:dyDescent="0.2">
      <c r="A258" s="59" t="s">
        <v>1134</v>
      </c>
      <c r="B258" s="59" t="s">
        <v>1786</v>
      </c>
      <c r="C258" s="49" t="s">
        <v>1801</v>
      </c>
    </row>
    <row r="259" spans="1:8" x14ac:dyDescent="0.2">
      <c r="A259" s="43" t="s">
        <v>1787</v>
      </c>
      <c r="B259" s="161">
        <v>5.0000000000000001E-3</v>
      </c>
      <c r="C259" s="161">
        <f>B259+1</f>
        <v>1.0049999999999999</v>
      </c>
      <c r="E259" s="43" t="s">
        <v>1802</v>
      </c>
    </row>
    <row r="260" spans="1:8" x14ac:dyDescent="0.2">
      <c r="A260" s="43" t="s">
        <v>1788</v>
      </c>
      <c r="B260" s="161">
        <v>5.0000000000000001E-3</v>
      </c>
      <c r="C260" s="161">
        <f t="shared" ref="C260:C270" si="1">B260+1</f>
        <v>1.0049999999999999</v>
      </c>
      <c r="E260" s="210"/>
      <c r="H260" s="653">
        <f>PRODUCT(C259:C270)-1</f>
        <v>-1.2792248369833947E-3</v>
      </c>
    </row>
    <row r="261" spans="1:8" x14ac:dyDescent="0.2">
      <c r="A261" s="43" t="s">
        <v>1789</v>
      </c>
      <c r="B261" s="161">
        <v>-2E-3</v>
      </c>
      <c r="C261" s="161">
        <f t="shared" si="1"/>
        <v>0.998</v>
      </c>
      <c r="E261" s="43" t="s">
        <v>2865</v>
      </c>
    </row>
    <row r="262" spans="1:8" x14ac:dyDescent="0.2">
      <c r="A262" s="43" t="s">
        <v>1790</v>
      </c>
      <c r="B262" s="161">
        <v>-4.0000000000000001E-3</v>
      </c>
      <c r="C262" s="161">
        <f t="shared" si="1"/>
        <v>0.996</v>
      </c>
      <c r="E262" s="43" t="s">
        <v>1803</v>
      </c>
    </row>
    <row r="263" spans="1:8" ht="16" thickBot="1" x14ac:dyDescent="0.25">
      <c r="A263" s="43" t="s">
        <v>1791</v>
      </c>
      <c r="B263" s="161">
        <v>-2E-3</v>
      </c>
      <c r="C263" s="161">
        <f t="shared" si="1"/>
        <v>0.998</v>
      </c>
    </row>
    <row r="264" spans="1:8" x14ac:dyDescent="0.2">
      <c r="A264" s="43" t="s">
        <v>1792</v>
      </c>
      <c r="B264" s="161">
        <v>5.0000000000000001E-3</v>
      </c>
      <c r="C264" s="161">
        <f t="shared" si="1"/>
        <v>1.0049999999999999</v>
      </c>
      <c r="E264" s="211" t="s">
        <v>435</v>
      </c>
      <c r="F264" s="212"/>
      <c r="G264" s="212"/>
      <c r="H264" s="213"/>
    </row>
    <row r="265" spans="1:8" x14ac:dyDescent="0.2">
      <c r="A265" s="43" t="s">
        <v>1793</v>
      </c>
      <c r="B265" s="161">
        <v>3.0000000000000001E-3</v>
      </c>
      <c r="C265" s="161">
        <f t="shared" si="1"/>
        <v>1.0029999999999999</v>
      </c>
      <c r="E265" s="214" t="s">
        <v>2866</v>
      </c>
      <c r="H265" s="215"/>
    </row>
    <row r="266" spans="1:8" ht="16" thickBot="1" x14ac:dyDescent="0.25">
      <c r="A266" s="43" t="s">
        <v>1794</v>
      </c>
      <c r="B266" s="161">
        <v>-0.02</v>
      </c>
      <c r="C266" s="161">
        <f t="shared" si="1"/>
        <v>0.98</v>
      </c>
      <c r="E266" s="216" t="s">
        <v>2867</v>
      </c>
      <c r="F266" s="217"/>
      <c r="G266" s="217"/>
      <c r="H266" s="218"/>
    </row>
    <row r="267" spans="1:8" ht="16" thickBot="1" x14ac:dyDescent="0.25">
      <c r="A267" s="43" t="s">
        <v>1795</v>
      </c>
      <c r="B267" s="161">
        <v>3.0000000000000001E-3</v>
      </c>
      <c r="C267" s="161">
        <f t="shared" si="1"/>
        <v>1.0029999999999999</v>
      </c>
      <c r="E267" s="43" t="s">
        <v>1804</v>
      </c>
    </row>
    <row r="268" spans="1:8" x14ac:dyDescent="0.2">
      <c r="A268" s="43" t="s">
        <v>1796</v>
      </c>
      <c r="B268" s="161">
        <v>5.0000000000000001E-3</v>
      </c>
      <c r="C268" s="161">
        <f t="shared" si="1"/>
        <v>1.0049999999999999</v>
      </c>
      <c r="E268" s="321" t="s">
        <v>1805</v>
      </c>
      <c r="F268" s="212"/>
      <c r="G268" s="212"/>
      <c r="H268" s="213"/>
    </row>
    <row r="269" spans="1:8" x14ac:dyDescent="0.2">
      <c r="A269" s="43" t="s">
        <v>1797</v>
      </c>
      <c r="B269" s="161">
        <v>-2E-3</v>
      </c>
      <c r="C269" s="161">
        <f t="shared" si="1"/>
        <v>0.998</v>
      </c>
      <c r="E269" s="320" t="s">
        <v>1806</v>
      </c>
      <c r="H269" s="215"/>
    </row>
    <row r="270" spans="1:8" ht="16" thickBot="1" x14ac:dyDescent="0.25">
      <c r="A270" s="43" t="s">
        <v>1798</v>
      </c>
      <c r="B270" s="161">
        <v>3.0000000000000001E-3</v>
      </c>
      <c r="C270" s="161">
        <f t="shared" si="1"/>
        <v>1.0029999999999999</v>
      </c>
      <c r="E270" s="234" t="s">
        <v>1807</v>
      </c>
      <c r="F270" s="217"/>
      <c r="G270" s="217"/>
      <c r="H270" s="218"/>
    </row>
    <row r="273" spans="1:8" x14ac:dyDescent="0.2">
      <c r="E273" s="751">
        <f>(1+4.8%/12)^12-1</f>
        <v>4.9070207534805954E-2</v>
      </c>
    </row>
    <row r="274" spans="1:8" ht="16" thickBot="1" x14ac:dyDescent="0.25">
      <c r="E274" s="752"/>
    </row>
    <row r="275" spans="1:8" x14ac:dyDescent="0.2">
      <c r="E275" s="321" t="s">
        <v>1808</v>
      </c>
      <c r="F275" s="212"/>
      <c r="G275" s="212"/>
      <c r="H275" s="213"/>
    </row>
    <row r="276" spans="1:8" x14ac:dyDescent="0.2">
      <c r="E276" s="320"/>
      <c r="H276" s="215"/>
    </row>
    <row r="277" spans="1:8" x14ac:dyDescent="0.2">
      <c r="E277" s="320"/>
      <c r="H277" s="215"/>
    </row>
    <row r="278" spans="1:8" ht="16" thickBot="1" x14ac:dyDescent="0.25">
      <c r="E278" s="320"/>
      <c r="H278" s="215"/>
    </row>
    <row r="279" spans="1:8" ht="16" thickBot="1" x14ac:dyDescent="0.25">
      <c r="A279" s="43" t="s">
        <v>1809</v>
      </c>
      <c r="C279" s="654">
        <f>1.04907*(1+E260)-1</f>
        <v>4.9069999999999947E-2</v>
      </c>
      <c r="E279" s="234"/>
      <c r="F279" s="217"/>
      <c r="G279" s="217"/>
      <c r="H279" s="218"/>
    </row>
    <row r="281" spans="1:8" x14ac:dyDescent="0.2">
      <c r="A281" s="71"/>
      <c r="B281" s="71"/>
      <c r="C281" s="71"/>
      <c r="D281" s="71"/>
      <c r="E281" s="71"/>
      <c r="F281" s="71"/>
      <c r="G281" s="71"/>
      <c r="H281" s="71"/>
    </row>
    <row r="282" spans="1:8" x14ac:dyDescent="0.2">
      <c r="A282" s="44" t="s">
        <v>1810</v>
      </c>
    </row>
    <row r="283" spans="1:8" x14ac:dyDescent="0.2">
      <c r="A283" s="219" t="s">
        <v>1811</v>
      </c>
    </row>
    <row r="284" spans="1:8" x14ac:dyDescent="0.2">
      <c r="A284" s="219"/>
    </row>
    <row r="285" spans="1:8" x14ac:dyDescent="0.2">
      <c r="A285" s="220" t="s">
        <v>2868</v>
      </c>
    </row>
    <row r="286" spans="1:8" x14ac:dyDescent="0.2">
      <c r="A286" s="220"/>
    </row>
    <row r="287" spans="1:8" x14ac:dyDescent="0.2">
      <c r="A287" s="221" t="s">
        <v>1812</v>
      </c>
    </row>
    <row r="288" spans="1:8" x14ac:dyDescent="0.2">
      <c r="A288" s="221"/>
    </row>
    <row r="289" spans="1:8" x14ac:dyDescent="0.2">
      <c r="A289" s="222" t="s">
        <v>1813</v>
      </c>
    </row>
    <row r="290" spans="1:8" x14ac:dyDescent="0.2">
      <c r="A290" s="222"/>
    </row>
    <row r="291" spans="1:8" x14ac:dyDescent="0.2">
      <c r="A291" s="223" t="s">
        <v>1814</v>
      </c>
    </row>
    <row r="293" spans="1:8" x14ac:dyDescent="0.2">
      <c r="A293" s="181" t="s">
        <v>1815</v>
      </c>
      <c r="B293" s="181"/>
      <c r="C293" s="181"/>
      <c r="D293" s="181"/>
      <c r="E293" s="181" t="s">
        <v>13</v>
      </c>
      <c r="F293" s="181"/>
      <c r="G293" s="181"/>
      <c r="H293" s="181"/>
    </row>
    <row r="294" spans="1:8" x14ac:dyDescent="0.2">
      <c r="A294" s="43" t="s">
        <v>1816</v>
      </c>
    </row>
    <row r="295" spans="1:8" x14ac:dyDescent="0.2">
      <c r="A295" s="43" t="s">
        <v>1817</v>
      </c>
    </row>
    <row r="296" spans="1:8" x14ac:dyDescent="0.2">
      <c r="A296" s="43" t="s">
        <v>1818</v>
      </c>
    </row>
    <row r="297" spans="1:8" x14ac:dyDescent="0.2">
      <c r="A297" s="43" t="s">
        <v>1819</v>
      </c>
    </row>
    <row r="298" spans="1:8" x14ac:dyDescent="0.2">
      <c r="A298" s="43" t="s">
        <v>1820</v>
      </c>
    </row>
    <row r="300" spans="1:8" x14ac:dyDescent="0.2">
      <c r="A300" s="44" t="s">
        <v>111</v>
      </c>
    </row>
    <row r="302" spans="1:8" ht="16" thickBot="1" x14ac:dyDescent="0.25">
      <c r="A302" s="43" t="s">
        <v>1821</v>
      </c>
    </row>
    <row r="303" spans="1:8" ht="16" thickBot="1" x14ac:dyDescent="0.25">
      <c r="E303" s="224">
        <f>1.02*1.045-1</f>
        <v>6.5899999999999848E-2</v>
      </c>
      <c r="G303" s="43" t="s">
        <v>1822</v>
      </c>
    </row>
    <row r="305" spans="1:8" x14ac:dyDescent="0.2">
      <c r="A305" s="43" t="s">
        <v>1823</v>
      </c>
    </row>
    <row r="306" spans="1:8" ht="16" thickBot="1" x14ac:dyDescent="0.25">
      <c r="A306" s="43" t="s">
        <v>1824</v>
      </c>
    </row>
    <row r="307" spans="1:8" ht="16" thickBot="1" x14ac:dyDescent="0.25">
      <c r="E307" s="225">
        <f>(1+E303)/1.045-1</f>
        <v>2.0000000000000018E-2</v>
      </c>
      <c r="G307" s="43" t="s">
        <v>1825</v>
      </c>
    </row>
    <row r="309" spans="1:8" x14ac:dyDescent="0.2">
      <c r="A309" s="182" t="s">
        <v>1826</v>
      </c>
      <c r="B309" s="182"/>
      <c r="C309" s="182"/>
      <c r="D309" s="182"/>
      <c r="E309" s="183" t="s">
        <v>13</v>
      </c>
      <c r="F309" s="183"/>
      <c r="G309" s="183"/>
      <c r="H309" s="183"/>
    </row>
    <row r="310" spans="1:8" x14ac:dyDescent="0.2">
      <c r="A310" s="43" t="s">
        <v>1827</v>
      </c>
    </row>
    <row r="311" spans="1:8" x14ac:dyDescent="0.2">
      <c r="A311" s="43" t="s">
        <v>1828</v>
      </c>
    </row>
    <row r="312" spans="1:8" x14ac:dyDescent="0.2">
      <c r="A312" s="43" t="s">
        <v>1829</v>
      </c>
    </row>
    <row r="314" spans="1:8" x14ac:dyDescent="0.2">
      <c r="A314" s="44" t="s">
        <v>111</v>
      </c>
    </row>
    <row r="316" spans="1:8" x14ac:dyDescent="0.2">
      <c r="A316" s="43" t="s">
        <v>1830</v>
      </c>
      <c r="D316" s="43">
        <f>500000*1.028</f>
        <v>514000</v>
      </c>
    </row>
    <row r="317" spans="1:8" x14ac:dyDescent="0.2">
      <c r="A317" s="43" t="s">
        <v>1831</v>
      </c>
      <c r="D317" s="156">
        <f>1.028/1.037-1</f>
        <v>-8.6788813886209404E-3</v>
      </c>
    </row>
    <row r="319" spans="1:8" x14ac:dyDescent="0.2">
      <c r="A319" s="43" t="s">
        <v>1832</v>
      </c>
    </row>
    <row r="320" spans="1:8" x14ac:dyDescent="0.2">
      <c r="A320" s="43" t="s">
        <v>1833</v>
      </c>
    </row>
  </sheetData>
  <mergeCells count="7">
    <mergeCell ref="A1:H1"/>
    <mergeCell ref="E273:E274"/>
    <mergeCell ref="G183:I183"/>
    <mergeCell ref="H222:H225"/>
    <mergeCell ref="H226:H228"/>
    <mergeCell ref="H229:H230"/>
    <mergeCell ref="H231:H235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8B6D8C-5008-4A49-9CC8-E305F6E15067}">
  <sheetPr>
    <tabColor rgb="FF0070C0"/>
  </sheetPr>
  <dimension ref="A1:R470"/>
  <sheetViews>
    <sheetView rightToLeft="1" tabSelected="1" topLeftCell="A449" zoomScale="180" zoomScaleNormal="180" workbookViewId="0">
      <selection activeCell="G452" sqref="G452"/>
    </sheetView>
  </sheetViews>
  <sheetFormatPr baseColWidth="10" defaultColWidth="10.83203125" defaultRowHeight="15" x14ac:dyDescent="0.2"/>
  <cols>
    <col min="1" max="2" width="10.83203125" style="43"/>
    <col min="3" max="3" width="10.33203125" style="43" customWidth="1"/>
    <col min="4" max="7" width="10.83203125" style="43"/>
    <col min="8" max="8" width="17.6640625" style="43" customWidth="1"/>
    <col min="9" max="9" width="10.83203125" style="43"/>
    <col min="10" max="10" width="4.6640625" style="43" customWidth="1"/>
    <col min="11" max="11" width="9.1640625" style="43" customWidth="1"/>
    <col min="12" max="12" width="10.83203125" style="43"/>
    <col min="13" max="13" width="10.33203125" style="43" customWidth="1"/>
    <col min="14" max="16384" width="10.83203125" style="43"/>
  </cols>
  <sheetData>
    <row r="1" spans="1:9" s="92" customFormat="1" ht="16" x14ac:dyDescent="0.2">
      <c r="A1" s="740" t="s">
        <v>3445</v>
      </c>
      <c r="B1" s="740"/>
      <c r="C1" s="740"/>
      <c r="D1" s="740"/>
      <c r="E1" s="740"/>
      <c r="F1" s="740"/>
      <c r="G1" s="740"/>
      <c r="H1" s="740"/>
    </row>
    <row r="3" spans="1:9" x14ac:dyDescent="0.2">
      <c r="A3" s="44" t="s">
        <v>1834</v>
      </c>
    </row>
    <row r="4" spans="1:9" x14ac:dyDescent="0.2">
      <c r="A4" s="43" t="s">
        <v>1835</v>
      </c>
    </row>
    <row r="5" spans="1:9" x14ac:dyDescent="0.2">
      <c r="A5" s="43" t="s">
        <v>3409</v>
      </c>
    </row>
    <row r="6" spans="1:9" x14ac:dyDescent="0.2">
      <c r="A6" s="44" t="s">
        <v>1836</v>
      </c>
    </row>
    <row r="8" spans="1:9" x14ac:dyDescent="0.2">
      <c r="A8" s="322" t="s">
        <v>3410</v>
      </c>
      <c r="B8" s="322"/>
      <c r="C8" s="322"/>
      <c r="D8" s="322"/>
      <c r="E8" s="322"/>
      <c r="F8" s="322"/>
      <c r="G8" s="322"/>
      <c r="H8" s="322"/>
      <c r="I8" s="322"/>
    </row>
    <row r="9" spans="1:9" x14ac:dyDescent="0.2">
      <c r="A9" s="322" t="s">
        <v>3411</v>
      </c>
      <c r="B9" s="322"/>
      <c r="C9" s="322"/>
      <c r="D9" s="322"/>
      <c r="E9" s="322"/>
      <c r="F9" s="322"/>
      <c r="G9" s="322"/>
      <c r="H9" s="322"/>
      <c r="I9" s="322"/>
    </row>
    <row r="11" spans="1:9" x14ac:dyDescent="0.2">
      <c r="A11" s="43" t="s">
        <v>1837</v>
      </c>
      <c r="B11" s="43" t="s">
        <v>3412</v>
      </c>
    </row>
    <row r="12" spans="1:9" x14ac:dyDescent="0.2">
      <c r="A12" s="227" t="s">
        <v>1885</v>
      </c>
      <c r="B12" s="43" t="s">
        <v>1838</v>
      </c>
    </row>
    <row r="13" spans="1:9" x14ac:dyDescent="0.2">
      <c r="B13" s="43" t="s">
        <v>3413</v>
      </c>
    </row>
    <row r="14" spans="1:9" x14ac:dyDescent="0.2">
      <c r="B14" s="43" t="s">
        <v>1839</v>
      </c>
    </row>
    <row r="15" spans="1:9" x14ac:dyDescent="0.2">
      <c r="B15" s="43" t="s">
        <v>1840</v>
      </c>
    </row>
    <row r="17" spans="1:8" x14ac:dyDescent="0.2">
      <c r="A17" s="43" t="s">
        <v>1841</v>
      </c>
      <c r="B17" s="43" t="s">
        <v>3414</v>
      </c>
    </row>
    <row r="18" spans="1:8" x14ac:dyDescent="0.2">
      <c r="A18" s="227" t="s">
        <v>1886</v>
      </c>
      <c r="B18" s="43" t="s">
        <v>1842</v>
      </c>
    </row>
    <row r="19" spans="1:8" x14ac:dyDescent="0.2">
      <c r="B19" s="43" t="s">
        <v>1843</v>
      </c>
    </row>
    <row r="21" spans="1:8" x14ac:dyDescent="0.2">
      <c r="B21" s="43" t="s">
        <v>1887</v>
      </c>
    </row>
    <row r="22" spans="1:8" x14ac:dyDescent="0.2">
      <c r="B22" s="43" t="s">
        <v>1844</v>
      </c>
    </row>
    <row r="24" spans="1:8" x14ac:dyDescent="0.2">
      <c r="A24" s="45" t="s">
        <v>1845</v>
      </c>
      <c r="B24" s="46"/>
      <c r="C24" s="46"/>
      <c r="D24" s="46"/>
      <c r="E24" s="46"/>
      <c r="F24" s="46"/>
      <c r="G24" s="46"/>
      <c r="H24" s="46"/>
    </row>
    <row r="25" spans="1:8" x14ac:dyDescent="0.2">
      <c r="A25" s="43" t="s">
        <v>1888</v>
      </c>
    </row>
    <row r="26" spans="1:8" x14ac:dyDescent="0.2">
      <c r="A26" s="43" t="s">
        <v>1846</v>
      </c>
    </row>
    <row r="27" spans="1:8" x14ac:dyDescent="0.2">
      <c r="A27" s="43" t="s">
        <v>1847</v>
      </c>
    </row>
    <row r="29" spans="1:8" x14ac:dyDescent="0.2">
      <c r="A29" s="44" t="s">
        <v>111</v>
      </c>
    </row>
    <row r="30" spans="1:8" x14ac:dyDescent="0.2">
      <c r="A30" s="43" t="s">
        <v>1889</v>
      </c>
    </row>
    <row r="31" spans="1:8" x14ac:dyDescent="0.2">
      <c r="A31" s="43" t="s">
        <v>1890</v>
      </c>
    </row>
    <row r="32" spans="1:8" x14ac:dyDescent="0.2">
      <c r="A32" s="43" t="s">
        <v>1891</v>
      </c>
    </row>
    <row r="33" spans="1:8" x14ac:dyDescent="0.2">
      <c r="A33" s="43" t="s">
        <v>1892</v>
      </c>
    </row>
    <row r="34" spans="1:8" ht="16" thickBot="1" x14ac:dyDescent="0.25"/>
    <row r="35" spans="1:8" x14ac:dyDescent="0.2">
      <c r="B35" s="80" t="s">
        <v>1893</v>
      </c>
      <c r="C35" s="80" t="s">
        <v>1894</v>
      </c>
      <c r="E35" s="321" t="s">
        <v>2323</v>
      </c>
      <c r="F35" s="212"/>
      <c r="G35" s="212"/>
      <c r="H35" s="213"/>
    </row>
    <row r="36" spans="1:8" x14ac:dyDescent="0.2">
      <c r="B36" s="80">
        <v>0</v>
      </c>
      <c r="C36" s="80">
        <v>-100</v>
      </c>
      <c r="E36" s="320" t="s">
        <v>2324</v>
      </c>
      <c r="H36" s="215"/>
    </row>
    <row r="37" spans="1:8" x14ac:dyDescent="0.2">
      <c r="B37" s="80">
        <v>1</v>
      </c>
      <c r="C37" s="80">
        <v>80</v>
      </c>
      <c r="E37" s="320" t="s">
        <v>2325</v>
      </c>
      <c r="H37" s="215"/>
    </row>
    <row r="38" spans="1:8" ht="16" thickBot="1" x14ac:dyDescent="0.25">
      <c r="B38" s="80">
        <v>2</v>
      </c>
      <c r="C38" s="80">
        <v>90</v>
      </c>
      <c r="E38" s="234" t="s">
        <v>2326</v>
      </c>
      <c r="F38" s="217"/>
      <c r="G38" s="217"/>
      <c r="H38" s="218"/>
    </row>
    <row r="39" spans="1:8" x14ac:dyDescent="0.2">
      <c r="B39" s="80">
        <v>3</v>
      </c>
      <c r="C39" s="80">
        <v>70</v>
      </c>
    </row>
    <row r="41" spans="1:8" ht="16" thickBot="1" x14ac:dyDescent="0.25">
      <c r="B41" s="43" t="s">
        <v>1895</v>
      </c>
      <c r="C41" s="54">
        <v>0.1</v>
      </c>
      <c r="D41" s="43" t="s">
        <v>1896</v>
      </c>
      <c r="F41" s="43" t="s">
        <v>1897</v>
      </c>
    </row>
    <row r="42" spans="1:8" ht="16" thickBot="1" x14ac:dyDescent="0.25">
      <c r="C42" s="229">
        <f>NPV(C41,C37:C39)+C36</f>
        <v>99.699474079639344</v>
      </c>
      <c r="D42" s="43" t="s">
        <v>1898</v>
      </c>
      <c r="G42" s="43" t="str">
        <f ca="1">_xlfn.FORMULATEXT(C42)</f>
        <v>=NPV(C41,C37:C39)+C36</v>
      </c>
    </row>
    <row r="43" spans="1:8" ht="16" thickBot="1" x14ac:dyDescent="0.25">
      <c r="C43" s="228"/>
    </row>
    <row r="44" spans="1:8" x14ac:dyDescent="0.2">
      <c r="A44" s="211" t="s">
        <v>1899</v>
      </c>
      <c r="B44" s="212"/>
      <c r="C44" s="233"/>
      <c r="D44" s="212"/>
      <c r="E44" s="213"/>
      <c r="F44" s="43" t="s">
        <v>65</v>
      </c>
    </row>
    <row r="45" spans="1:8" ht="16" thickBot="1" x14ac:dyDescent="0.25">
      <c r="A45" s="234" t="s">
        <v>1900</v>
      </c>
      <c r="B45" s="217"/>
      <c r="C45" s="235"/>
      <c r="D45" s="217"/>
      <c r="E45" s="218"/>
      <c r="F45" s="47" t="s">
        <v>1869</v>
      </c>
      <c r="G45" s="43" t="s">
        <v>265</v>
      </c>
    </row>
    <row r="46" spans="1:8" x14ac:dyDescent="0.2">
      <c r="C46" s="228"/>
      <c r="F46" s="47" t="s">
        <v>3415</v>
      </c>
      <c r="G46" s="43" t="s">
        <v>3416</v>
      </c>
    </row>
    <row r="47" spans="1:8" x14ac:dyDescent="0.2">
      <c r="F47" s="47" t="s">
        <v>3417</v>
      </c>
      <c r="G47" s="43" t="s">
        <v>3418</v>
      </c>
    </row>
    <row r="48" spans="1:8" x14ac:dyDescent="0.2">
      <c r="F48" s="47" t="s">
        <v>3419</v>
      </c>
      <c r="G48" s="43" t="s">
        <v>3420</v>
      </c>
    </row>
    <row r="49" spans="1:6" x14ac:dyDescent="0.2">
      <c r="A49" s="43" t="s">
        <v>2327</v>
      </c>
    </row>
    <row r="50" spans="1:6" x14ac:dyDescent="0.2">
      <c r="A50" s="43" t="s">
        <v>1901</v>
      </c>
    </row>
    <row r="51" spans="1:6" x14ac:dyDescent="0.2">
      <c r="A51" s="43" t="s">
        <v>1902</v>
      </c>
    </row>
    <row r="53" spans="1:6" x14ac:dyDescent="0.2">
      <c r="B53" s="80" t="s">
        <v>1893</v>
      </c>
      <c r="C53" s="80" t="s">
        <v>1894</v>
      </c>
      <c r="D53" s="80" t="s">
        <v>153</v>
      </c>
      <c r="E53" s="80" t="s">
        <v>973</v>
      </c>
      <c r="F53" s="231" t="s">
        <v>974</v>
      </c>
    </row>
    <row r="54" spans="1:6" x14ac:dyDescent="0.2">
      <c r="B54" s="80">
        <v>0</v>
      </c>
      <c r="C54" s="232">
        <f>C36+-C42</f>
        <v>-199.69947407963934</v>
      </c>
      <c r="D54" s="80"/>
      <c r="E54" s="80"/>
      <c r="F54" s="231"/>
    </row>
    <row r="55" spans="1:6" x14ac:dyDescent="0.2">
      <c r="B55" s="80">
        <v>1</v>
      </c>
      <c r="C55" s="80"/>
      <c r="D55" s="230">
        <f>-C54*1.1</f>
        <v>219.6694214876033</v>
      </c>
      <c r="E55" s="80">
        <f>-C37</f>
        <v>-80</v>
      </c>
      <c r="F55" s="230">
        <f>D55+E55</f>
        <v>139.6694214876033</v>
      </c>
    </row>
    <row r="56" spans="1:6" x14ac:dyDescent="0.2">
      <c r="B56" s="80">
        <v>2</v>
      </c>
      <c r="C56" s="80"/>
      <c r="D56" s="80">
        <f>F55*1.1</f>
        <v>153.63636363636365</v>
      </c>
      <c r="E56" s="80">
        <f>-C38</f>
        <v>-90</v>
      </c>
      <c r="F56" s="230">
        <f>D56+E56</f>
        <v>63.636363636363654</v>
      </c>
    </row>
    <row r="57" spans="1:6" x14ac:dyDescent="0.2">
      <c r="B57" s="80">
        <v>3</v>
      </c>
      <c r="C57" s="80"/>
      <c r="D57" s="80">
        <f>F56*1.1</f>
        <v>70.000000000000028</v>
      </c>
      <c r="E57" s="80">
        <f>-C39</f>
        <v>-70</v>
      </c>
      <c r="F57" s="80">
        <v>0</v>
      </c>
    </row>
    <row r="65" spans="1:14" x14ac:dyDescent="0.2">
      <c r="K65" s="718"/>
    </row>
    <row r="67" spans="1:14" x14ac:dyDescent="0.2">
      <c r="A67" s="45" t="s">
        <v>1848</v>
      </c>
      <c r="B67" s="46"/>
      <c r="C67" s="46"/>
      <c r="D67" s="46"/>
      <c r="E67" s="46"/>
      <c r="F67" s="46"/>
      <c r="G67" s="46"/>
      <c r="H67" s="46"/>
      <c r="J67" s="43" t="s">
        <v>564</v>
      </c>
      <c r="K67" s="43" t="s">
        <v>828</v>
      </c>
    </row>
    <row r="68" spans="1:14" x14ac:dyDescent="0.2">
      <c r="A68" s="43" t="s">
        <v>1849</v>
      </c>
      <c r="J68" s="43">
        <v>0</v>
      </c>
      <c r="K68" s="43">
        <v>-400</v>
      </c>
      <c r="M68" s="77">
        <v>0.1</v>
      </c>
      <c r="N68" s="43" t="s">
        <v>1896</v>
      </c>
    </row>
    <row r="69" spans="1:14" x14ac:dyDescent="0.2">
      <c r="A69" s="43" t="s">
        <v>1850</v>
      </c>
      <c r="J69" s="43">
        <v>1</v>
      </c>
      <c r="K69" s="43">
        <v>20</v>
      </c>
    </row>
    <row r="70" spans="1:14" x14ac:dyDescent="0.2">
      <c r="J70" s="43">
        <f>J69+1</f>
        <v>2</v>
      </c>
      <c r="K70" s="43">
        <f>K69</f>
        <v>20</v>
      </c>
      <c r="M70" s="717">
        <f>NPV(M68,K69:K98)+K68</f>
        <v>-211.46171066023368</v>
      </c>
      <c r="N70" s="43" t="s">
        <v>1898</v>
      </c>
    </row>
    <row r="71" spans="1:14" x14ac:dyDescent="0.2">
      <c r="A71" s="43" t="s">
        <v>111</v>
      </c>
      <c r="J71" s="43">
        <f t="shared" ref="J71:J98" si="0">J70+1</f>
        <v>3</v>
      </c>
      <c r="K71" s="43">
        <f t="shared" ref="K71:K98" si="1">K70</f>
        <v>20</v>
      </c>
    </row>
    <row r="72" spans="1:14" x14ac:dyDescent="0.2">
      <c r="J72" s="43">
        <f t="shared" si="0"/>
        <v>4</v>
      </c>
      <c r="K72" s="43">
        <f t="shared" si="1"/>
        <v>20</v>
      </c>
    </row>
    <row r="73" spans="1:14" x14ac:dyDescent="0.2">
      <c r="A73" s="43" t="s">
        <v>1903</v>
      </c>
      <c r="J73" s="43">
        <f t="shared" si="0"/>
        <v>5</v>
      </c>
      <c r="K73" s="43">
        <f t="shared" si="1"/>
        <v>20</v>
      </c>
    </row>
    <row r="74" spans="1:14" x14ac:dyDescent="0.2">
      <c r="A74" s="43" t="s">
        <v>1904</v>
      </c>
      <c r="J74" s="43">
        <f t="shared" si="0"/>
        <v>6</v>
      </c>
      <c r="K74" s="43">
        <f t="shared" si="1"/>
        <v>20</v>
      </c>
    </row>
    <row r="75" spans="1:14" x14ac:dyDescent="0.2">
      <c r="J75" s="43">
        <f t="shared" si="0"/>
        <v>7</v>
      </c>
      <c r="K75" s="43">
        <f t="shared" si="1"/>
        <v>20</v>
      </c>
    </row>
    <row r="76" spans="1:14" x14ac:dyDescent="0.2">
      <c r="A76" s="44" t="s">
        <v>1905</v>
      </c>
      <c r="J76" s="43">
        <f t="shared" si="0"/>
        <v>8</v>
      </c>
      <c r="K76" s="43">
        <f t="shared" si="1"/>
        <v>20</v>
      </c>
    </row>
    <row r="77" spans="1:14" x14ac:dyDescent="0.2">
      <c r="J77" s="43">
        <f t="shared" si="0"/>
        <v>9</v>
      </c>
      <c r="K77" s="43">
        <f t="shared" si="1"/>
        <v>20</v>
      </c>
    </row>
    <row r="78" spans="1:14" x14ac:dyDescent="0.2">
      <c r="B78" s="43" t="s">
        <v>1906</v>
      </c>
      <c r="E78" s="77">
        <v>0.1</v>
      </c>
      <c r="F78" s="43" t="s">
        <v>87</v>
      </c>
      <c r="J78" s="43">
        <f t="shared" si="0"/>
        <v>10</v>
      </c>
      <c r="K78" s="43">
        <f t="shared" si="1"/>
        <v>20</v>
      </c>
    </row>
    <row r="79" spans="1:14" x14ac:dyDescent="0.2">
      <c r="B79" s="43" t="s">
        <v>1907</v>
      </c>
      <c r="E79" s="43">
        <v>30</v>
      </c>
      <c r="F79" s="43" t="s">
        <v>89</v>
      </c>
      <c r="J79" s="43">
        <f t="shared" si="0"/>
        <v>11</v>
      </c>
      <c r="K79" s="43">
        <f t="shared" si="1"/>
        <v>20</v>
      </c>
    </row>
    <row r="80" spans="1:14" x14ac:dyDescent="0.2">
      <c r="B80" s="43" t="s">
        <v>1908</v>
      </c>
      <c r="E80" s="715">
        <f>PV(E78,E79,E81,E82)</f>
        <v>-188.53828933976641</v>
      </c>
      <c r="F80" s="43" t="s">
        <v>281</v>
      </c>
      <c r="J80" s="43">
        <f t="shared" si="0"/>
        <v>12</v>
      </c>
      <c r="K80" s="43">
        <f t="shared" si="1"/>
        <v>20</v>
      </c>
    </row>
    <row r="81" spans="1:11" x14ac:dyDescent="0.2">
      <c r="B81" s="43" t="s">
        <v>1909</v>
      </c>
      <c r="E81" s="74">
        <v>20</v>
      </c>
      <c r="F81" s="43" t="s">
        <v>91</v>
      </c>
      <c r="J81" s="43">
        <f t="shared" si="0"/>
        <v>13</v>
      </c>
      <c r="K81" s="43">
        <f t="shared" si="1"/>
        <v>20</v>
      </c>
    </row>
    <row r="82" spans="1:11" x14ac:dyDescent="0.2">
      <c r="B82" s="43" t="s">
        <v>1910</v>
      </c>
      <c r="E82" s="43">
        <v>0</v>
      </c>
      <c r="F82" s="43" t="s">
        <v>105</v>
      </c>
      <c r="J82" s="43">
        <f t="shared" si="0"/>
        <v>14</v>
      </c>
      <c r="K82" s="43">
        <f t="shared" si="1"/>
        <v>20</v>
      </c>
    </row>
    <row r="83" spans="1:11" x14ac:dyDescent="0.2">
      <c r="J83" s="43">
        <f t="shared" si="0"/>
        <v>15</v>
      </c>
      <c r="K83" s="43">
        <f t="shared" si="1"/>
        <v>20</v>
      </c>
    </row>
    <row r="84" spans="1:11" x14ac:dyDescent="0.2">
      <c r="A84" s="43" t="s">
        <v>1911</v>
      </c>
      <c r="J84" s="43">
        <f t="shared" si="0"/>
        <v>16</v>
      </c>
      <c r="K84" s="43">
        <f t="shared" si="1"/>
        <v>20</v>
      </c>
    </row>
    <row r="85" spans="1:11" x14ac:dyDescent="0.2">
      <c r="A85" s="43" t="s">
        <v>1912</v>
      </c>
      <c r="J85" s="43">
        <f t="shared" si="0"/>
        <v>17</v>
      </c>
      <c r="K85" s="43">
        <f t="shared" si="1"/>
        <v>20</v>
      </c>
    </row>
    <row r="86" spans="1:11" x14ac:dyDescent="0.2">
      <c r="A86" s="43" t="s">
        <v>1913</v>
      </c>
      <c r="F86" s="716">
        <f>-E80</f>
        <v>188.53828933976641</v>
      </c>
      <c r="J86" s="43">
        <f t="shared" si="0"/>
        <v>18</v>
      </c>
      <c r="K86" s="43">
        <f t="shared" si="1"/>
        <v>20</v>
      </c>
    </row>
    <row r="87" spans="1:11" x14ac:dyDescent="0.2">
      <c r="C87" s="43" t="s">
        <v>1914</v>
      </c>
      <c r="F87" s="74">
        <v>-400</v>
      </c>
      <c r="G87" s="43" t="s">
        <v>1895</v>
      </c>
      <c r="J87" s="43">
        <f t="shared" si="0"/>
        <v>19</v>
      </c>
      <c r="K87" s="43">
        <f t="shared" si="1"/>
        <v>20</v>
      </c>
    </row>
    <row r="88" spans="1:11" x14ac:dyDescent="0.2">
      <c r="C88" s="43" t="s">
        <v>1915</v>
      </c>
      <c r="E88" s="149" t="s">
        <v>1916</v>
      </c>
      <c r="F88" s="717">
        <f>F86+F87</f>
        <v>-211.46171066023359</v>
      </c>
      <c r="G88" s="43" t="s">
        <v>1917</v>
      </c>
      <c r="J88" s="43">
        <f t="shared" si="0"/>
        <v>20</v>
      </c>
      <c r="K88" s="43">
        <f t="shared" si="1"/>
        <v>20</v>
      </c>
    </row>
    <row r="89" spans="1:11" ht="16" thickBot="1" x14ac:dyDescent="0.25">
      <c r="J89" s="43">
        <f t="shared" si="0"/>
        <v>21</v>
      </c>
      <c r="K89" s="43">
        <f t="shared" si="1"/>
        <v>20</v>
      </c>
    </row>
    <row r="90" spans="1:11" x14ac:dyDescent="0.2">
      <c r="A90" s="236" t="s">
        <v>1918</v>
      </c>
      <c r="B90" s="237"/>
      <c r="C90" s="237"/>
      <c r="D90" s="237"/>
      <c r="E90" s="237"/>
      <c r="F90" s="237"/>
      <c r="G90" s="237"/>
      <c r="H90" s="238"/>
      <c r="J90" s="43">
        <f t="shared" si="0"/>
        <v>22</v>
      </c>
      <c r="K90" s="43">
        <f t="shared" si="1"/>
        <v>20</v>
      </c>
    </row>
    <row r="91" spans="1:11" x14ac:dyDescent="0.2">
      <c r="A91" s="239" t="s">
        <v>1919</v>
      </c>
      <c r="B91" s="79"/>
      <c r="C91" s="79"/>
      <c r="D91" s="79"/>
      <c r="E91" s="79"/>
      <c r="F91" s="79"/>
      <c r="G91" s="79"/>
      <c r="H91" s="240"/>
      <c r="J91" s="43">
        <f t="shared" si="0"/>
        <v>23</v>
      </c>
      <c r="K91" s="43">
        <f t="shared" si="1"/>
        <v>20</v>
      </c>
    </row>
    <row r="92" spans="1:11" x14ac:dyDescent="0.2">
      <c r="A92" s="239" t="s">
        <v>1920</v>
      </c>
      <c r="B92" s="79"/>
      <c r="C92" s="79"/>
      <c r="D92" s="79"/>
      <c r="E92" s="79"/>
      <c r="F92" s="79"/>
      <c r="G92" s="79"/>
      <c r="H92" s="240"/>
      <c r="J92" s="43">
        <f t="shared" si="0"/>
        <v>24</v>
      </c>
      <c r="K92" s="43">
        <f t="shared" si="1"/>
        <v>20</v>
      </c>
    </row>
    <row r="93" spans="1:11" ht="16" thickBot="1" x14ac:dyDescent="0.25">
      <c r="A93" s="241" t="s">
        <v>1921</v>
      </c>
      <c r="B93" s="242"/>
      <c r="C93" s="242"/>
      <c r="D93" s="242"/>
      <c r="E93" s="242"/>
      <c r="F93" s="242"/>
      <c r="G93" s="242"/>
      <c r="H93" s="243"/>
      <c r="J93" s="43">
        <f t="shared" si="0"/>
        <v>25</v>
      </c>
      <c r="K93" s="43">
        <f t="shared" si="1"/>
        <v>20</v>
      </c>
    </row>
    <row r="94" spans="1:11" x14ac:dyDescent="0.2">
      <c r="J94" s="43">
        <f t="shared" si="0"/>
        <v>26</v>
      </c>
      <c r="K94" s="43">
        <f t="shared" si="1"/>
        <v>20</v>
      </c>
    </row>
    <row r="95" spans="1:11" x14ac:dyDescent="0.2">
      <c r="J95" s="43">
        <f t="shared" si="0"/>
        <v>27</v>
      </c>
      <c r="K95" s="43">
        <f t="shared" si="1"/>
        <v>20</v>
      </c>
    </row>
    <row r="96" spans="1:11" x14ac:dyDescent="0.2">
      <c r="J96" s="43">
        <f t="shared" si="0"/>
        <v>28</v>
      </c>
      <c r="K96" s="43">
        <f t="shared" si="1"/>
        <v>20</v>
      </c>
    </row>
    <row r="97" spans="1:11" x14ac:dyDescent="0.2">
      <c r="A97" s="45" t="s">
        <v>2328</v>
      </c>
      <c r="B97" s="46"/>
      <c r="C97" s="46"/>
      <c r="D97" s="46"/>
      <c r="E97" s="46"/>
      <c r="F97" s="46"/>
      <c r="G97" s="46"/>
      <c r="H97" s="46"/>
      <c r="J97" s="43">
        <f>J96+1</f>
        <v>29</v>
      </c>
      <c r="K97" s="43">
        <f t="shared" si="1"/>
        <v>20</v>
      </c>
    </row>
    <row r="98" spans="1:11" x14ac:dyDescent="0.2">
      <c r="A98" s="43" t="s">
        <v>1851</v>
      </c>
      <c r="J98" s="43">
        <f t="shared" si="0"/>
        <v>30</v>
      </c>
      <c r="K98" s="43">
        <f t="shared" si="1"/>
        <v>20</v>
      </c>
    </row>
    <row r="100" spans="1:11" x14ac:dyDescent="0.2">
      <c r="B100" s="80">
        <v>0</v>
      </c>
      <c r="C100" s="80">
        <v>1</v>
      </c>
      <c r="D100" s="80">
        <v>2</v>
      </c>
      <c r="E100" s="80">
        <v>3</v>
      </c>
      <c r="F100" s="80">
        <v>4</v>
      </c>
      <c r="G100" s="80">
        <v>5</v>
      </c>
      <c r="H100" s="80">
        <v>6</v>
      </c>
    </row>
    <row r="101" spans="1:11" x14ac:dyDescent="0.2">
      <c r="B101" s="80">
        <v>-500</v>
      </c>
      <c r="C101" s="80">
        <v>90</v>
      </c>
      <c r="D101" s="80">
        <v>70</v>
      </c>
      <c r="E101" s="80">
        <v>60</v>
      </c>
      <c r="F101" s="80">
        <v>50</v>
      </c>
      <c r="G101" s="80">
        <v>300</v>
      </c>
      <c r="H101" s="80">
        <v>100</v>
      </c>
    </row>
    <row r="103" spans="1:11" x14ac:dyDescent="0.2">
      <c r="A103" s="43" t="s">
        <v>321</v>
      </c>
    </row>
    <row r="104" spans="1:11" x14ac:dyDescent="0.2">
      <c r="A104" s="43" t="s">
        <v>3421</v>
      </c>
    </row>
    <row r="105" spans="1:11" x14ac:dyDescent="0.2">
      <c r="A105" s="43" t="s">
        <v>1852</v>
      </c>
    </row>
    <row r="107" spans="1:11" x14ac:dyDescent="0.2">
      <c r="A107" s="43" t="s">
        <v>290</v>
      </c>
    </row>
    <row r="108" spans="1:11" x14ac:dyDescent="0.2">
      <c r="B108" s="80" t="s">
        <v>564</v>
      </c>
      <c r="C108" s="80" t="s">
        <v>828</v>
      </c>
      <c r="E108" s="43" t="s">
        <v>1922</v>
      </c>
    </row>
    <row r="109" spans="1:11" x14ac:dyDescent="0.2">
      <c r="B109" s="80">
        <v>0</v>
      </c>
      <c r="C109" s="80">
        <v>-500</v>
      </c>
      <c r="E109" s="43" t="s">
        <v>1923</v>
      </c>
    </row>
    <row r="110" spans="1:11" x14ac:dyDescent="0.2">
      <c r="B110" s="80">
        <v>1</v>
      </c>
      <c r="C110" s="80">
        <v>90</v>
      </c>
    </row>
    <row r="111" spans="1:11" x14ac:dyDescent="0.2">
      <c r="B111" s="80">
        <v>2</v>
      </c>
      <c r="C111" s="80">
        <v>70</v>
      </c>
    </row>
    <row r="112" spans="1:11" x14ac:dyDescent="0.2">
      <c r="B112" s="80">
        <v>3</v>
      </c>
      <c r="C112" s="80">
        <v>60</v>
      </c>
    </row>
    <row r="113" spans="1:8" x14ac:dyDescent="0.2">
      <c r="B113" s="80">
        <v>4</v>
      </c>
      <c r="C113" s="80">
        <v>50</v>
      </c>
    </row>
    <row r="114" spans="1:8" x14ac:dyDescent="0.2">
      <c r="B114" s="80">
        <v>5</v>
      </c>
      <c r="C114" s="80">
        <v>300</v>
      </c>
    </row>
    <row r="115" spans="1:8" x14ac:dyDescent="0.2">
      <c r="B115" s="80">
        <v>6</v>
      </c>
      <c r="C115" s="80">
        <v>100</v>
      </c>
    </row>
    <row r="116" spans="1:8" ht="16" thickBot="1" x14ac:dyDescent="0.25"/>
    <row r="117" spans="1:8" ht="16" thickBot="1" x14ac:dyDescent="0.25">
      <c r="C117" s="244">
        <f>IRR(C109:C115)</f>
        <v>7.7122415051250615E-2</v>
      </c>
      <c r="D117" s="43" t="s">
        <v>1924</v>
      </c>
      <c r="F117" s="43" t="str">
        <f ca="1">_xlfn.FORMULATEXT(C117)</f>
        <v>=IRR(C109:C115)</v>
      </c>
      <c r="G117" s="43" t="s">
        <v>3423</v>
      </c>
    </row>
    <row r="119" spans="1:8" x14ac:dyDescent="0.2">
      <c r="B119" s="43" t="s">
        <v>3422</v>
      </c>
    </row>
    <row r="120" spans="1:8" x14ac:dyDescent="0.2">
      <c r="B120" s="43" t="s">
        <v>1925</v>
      </c>
    </row>
    <row r="121" spans="1:8" x14ac:dyDescent="0.2">
      <c r="B121" s="43" t="s">
        <v>1926</v>
      </c>
    </row>
    <row r="123" spans="1:8" x14ac:dyDescent="0.2">
      <c r="A123" s="43" t="s">
        <v>291</v>
      </c>
    </row>
    <row r="124" spans="1:8" x14ac:dyDescent="0.2">
      <c r="B124" s="43" t="s">
        <v>1927</v>
      </c>
    </row>
    <row r="125" spans="1:8" x14ac:dyDescent="0.2">
      <c r="B125" s="43" t="s">
        <v>1928</v>
      </c>
    </row>
    <row r="126" spans="1:8" ht="16" thickBot="1" x14ac:dyDescent="0.25"/>
    <row r="127" spans="1:8" ht="16" thickBot="1" x14ac:dyDescent="0.25">
      <c r="A127" s="43" t="s">
        <v>1153</v>
      </c>
      <c r="C127" s="530" t="s">
        <v>1929</v>
      </c>
      <c r="D127" s="531" t="s">
        <v>1930</v>
      </c>
      <c r="E127" s="532" t="s">
        <v>1931</v>
      </c>
      <c r="F127" s="533" t="s">
        <v>1932</v>
      </c>
      <c r="H127" s="43" t="s">
        <v>3424</v>
      </c>
    </row>
    <row r="128" spans="1:8" x14ac:dyDescent="0.2">
      <c r="C128" s="534" t="s">
        <v>1869</v>
      </c>
      <c r="D128" s="528" t="s">
        <v>1933</v>
      </c>
      <c r="E128" s="529" t="s">
        <v>1934</v>
      </c>
      <c r="F128" s="529" t="s">
        <v>1935</v>
      </c>
      <c r="H128" s="43" t="s">
        <v>3425</v>
      </c>
    </row>
    <row r="129" spans="1:8" ht="16" thickBot="1" x14ac:dyDescent="0.25">
      <c r="C129" s="535" t="s">
        <v>1863</v>
      </c>
      <c r="D129" s="527" t="s">
        <v>1936</v>
      </c>
      <c r="E129" s="80" t="s">
        <v>1937</v>
      </c>
      <c r="F129" s="80" t="s">
        <v>1938</v>
      </c>
    </row>
    <row r="131" spans="1:8" x14ac:dyDescent="0.2">
      <c r="A131" s="45" t="s">
        <v>3426</v>
      </c>
      <c r="B131" s="46"/>
      <c r="C131" s="46"/>
      <c r="D131" s="46"/>
      <c r="E131" s="46"/>
      <c r="F131" s="46"/>
      <c r="G131" s="46"/>
      <c r="H131" s="46"/>
    </row>
    <row r="132" spans="1:8" x14ac:dyDescent="0.2">
      <c r="A132" s="43" t="s">
        <v>1853</v>
      </c>
    </row>
    <row r="133" spans="1:8" x14ac:dyDescent="0.2">
      <c r="A133" s="43" t="s">
        <v>1854</v>
      </c>
    </row>
    <row r="135" spans="1:8" x14ac:dyDescent="0.2">
      <c r="B135" s="80" t="s">
        <v>1126</v>
      </c>
      <c r="C135" s="80" t="s">
        <v>1855</v>
      </c>
      <c r="D135" s="80" t="s">
        <v>1856</v>
      </c>
      <c r="E135" s="80" t="s">
        <v>1857</v>
      </c>
    </row>
    <row r="136" spans="1:8" x14ac:dyDescent="0.2">
      <c r="B136" s="80">
        <v>0</v>
      </c>
      <c r="C136" s="186">
        <v>-100</v>
      </c>
      <c r="D136" s="186">
        <v>-100000</v>
      </c>
      <c r="E136" s="186">
        <v>-1</v>
      </c>
    </row>
    <row r="137" spans="1:8" x14ac:dyDescent="0.2">
      <c r="B137" s="80">
        <v>1</v>
      </c>
      <c r="C137" s="186">
        <v>140</v>
      </c>
      <c r="D137" s="186">
        <v>130000</v>
      </c>
      <c r="E137" s="186">
        <v>2</v>
      </c>
    </row>
    <row r="139" spans="1:8" x14ac:dyDescent="0.2">
      <c r="A139" s="43" t="s">
        <v>321</v>
      </c>
    </row>
    <row r="140" spans="1:8" x14ac:dyDescent="0.2">
      <c r="A140" s="43" t="s">
        <v>1858</v>
      </c>
    </row>
    <row r="141" spans="1:8" x14ac:dyDescent="0.2">
      <c r="A141" s="43" t="s">
        <v>1859</v>
      </c>
    </row>
    <row r="142" spans="1:8" x14ac:dyDescent="0.2">
      <c r="A142" s="43" t="s">
        <v>1860</v>
      </c>
    </row>
    <row r="144" spans="1:8" x14ac:dyDescent="0.2">
      <c r="A144" s="43" t="s">
        <v>1939</v>
      </c>
    </row>
    <row r="145" spans="1:6" x14ac:dyDescent="0.2">
      <c r="B145" s="80" t="s">
        <v>1126</v>
      </c>
      <c r="C145" s="80" t="s">
        <v>1855</v>
      </c>
      <c r="D145" s="80" t="s">
        <v>1856</v>
      </c>
      <c r="E145" s="80" t="s">
        <v>1857</v>
      </c>
    </row>
    <row r="146" spans="1:6" x14ac:dyDescent="0.2">
      <c r="B146" s="80">
        <v>0</v>
      </c>
      <c r="C146" s="186">
        <v>-100</v>
      </c>
      <c r="D146" s="186">
        <v>-100000</v>
      </c>
      <c r="E146" s="186">
        <v>-1</v>
      </c>
    </row>
    <row r="147" spans="1:6" x14ac:dyDescent="0.2">
      <c r="B147" s="80">
        <v>1</v>
      </c>
      <c r="C147" s="186">
        <v>140</v>
      </c>
      <c r="D147" s="186">
        <v>130000</v>
      </c>
      <c r="E147" s="186">
        <v>2</v>
      </c>
    </row>
    <row r="149" spans="1:6" x14ac:dyDescent="0.2">
      <c r="B149" s="47" t="s">
        <v>87</v>
      </c>
      <c r="C149" s="54">
        <v>0.1</v>
      </c>
      <c r="D149" s="54">
        <v>0.1</v>
      </c>
      <c r="E149" s="54">
        <v>0.1</v>
      </c>
    </row>
    <row r="151" spans="1:6" x14ac:dyDescent="0.2">
      <c r="B151" s="47" t="s">
        <v>1869</v>
      </c>
      <c r="C151" s="228">
        <f>NPV(C149,C147)+C146</f>
        <v>27.272727272727266</v>
      </c>
      <c r="D151" s="245">
        <f t="shared" ref="D151:E151" si="2">NPV(D149,D147)+D146</f>
        <v>18181.818181818177</v>
      </c>
      <c r="E151" s="228">
        <f t="shared" si="2"/>
        <v>0.81818181818181812</v>
      </c>
      <c r="F151" s="441" t="s">
        <v>1940</v>
      </c>
    </row>
    <row r="152" spans="1:6" x14ac:dyDescent="0.2">
      <c r="B152" s="47" t="s">
        <v>1863</v>
      </c>
      <c r="C152" s="54">
        <f>IRR(C146:C147)</f>
        <v>0.39999999999999991</v>
      </c>
      <c r="D152" s="54">
        <f t="shared" ref="D152:E152" si="3">IRR(D146:D147)</f>
        <v>0.30000000000000004</v>
      </c>
      <c r="E152" s="246">
        <f t="shared" si="3"/>
        <v>1</v>
      </c>
      <c r="F152" s="441" t="s">
        <v>1941</v>
      </c>
    </row>
    <row r="154" spans="1:6" x14ac:dyDescent="0.2">
      <c r="A154" s="43" t="s">
        <v>1942</v>
      </c>
    </row>
    <row r="155" spans="1:6" x14ac:dyDescent="0.2">
      <c r="A155" s="43" t="s">
        <v>1943</v>
      </c>
    </row>
    <row r="156" spans="1:6" x14ac:dyDescent="0.2">
      <c r="A156" s="43" t="s">
        <v>1944</v>
      </c>
    </row>
    <row r="158" spans="1:6" x14ac:dyDescent="0.2">
      <c r="A158" s="44" t="s">
        <v>1945</v>
      </c>
    </row>
    <row r="162" spans="1:8" x14ac:dyDescent="0.2">
      <c r="A162" s="45" t="s">
        <v>1861</v>
      </c>
      <c r="B162" s="46"/>
      <c r="C162" s="46"/>
      <c r="D162" s="46"/>
      <c r="E162" s="46"/>
      <c r="F162" s="46"/>
      <c r="G162" s="46"/>
      <c r="H162" s="46"/>
    </row>
    <row r="163" spans="1:8" x14ac:dyDescent="0.2">
      <c r="A163" s="43" t="s">
        <v>1862</v>
      </c>
    </row>
    <row r="164" spans="1:8" x14ac:dyDescent="0.2">
      <c r="B164" s="80"/>
      <c r="C164" s="80">
        <v>0</v>
      </c>
      <c r="D164" s="80">
        <v>1</v>
      </c>
      <c r="E164" s="80">
        <v>2</v>
      </c>
      <c r="F164" s="80">
        <v>3</v>
      </c>
      <c r="G164" s="80" t="s">
        <v>1863</v>
      </c>
    </row>
    <row r="165" spans="1:8" x14ac:dyDescent="0.2">
      <c r="B165" s="80" t="s">
        <v>1855</v>
      </c>
      <c r="C165" s="80">
        <v>-200</v>
      </c>
      <c r="D165" s="80">
        <v>120</v>
      </c>
      <c r="E165" s="80">
        <v>120</v>
      </c>
      <c r="F165" s="80">
        <v>120</v>
      </c>
      <c r="G165" s="226">
        <f>IRR(C165:F165)</f>
        <v>0.36309653946985665</v>
      </c>
    </row>
    <row r="166" spans="1:8" x14ac:dyDescent="0.2">
      <c r="B166" s="80" t="s">
        <v>1856</v>
      </c>
      <c r="C166" s="80">
        <v>-100</v>
      </c>
      <c r="D166" s="80">
        <v>80</v>
      </c>
      <c r="E166" s="80">
        <v>80</v>
      </c>
      <c r="F166" s="80">
        <v>80</v>
      </c>
      <c r="G166" s="226">
        <f>IRR(C166:F166)</f>
        <v>0.60735719639169461</v>
      </c>
    </row>
    <row r="168" spans="1:8" x14ac:dyDescent="0.2">
      <c r="A168" s="43" t="s">
        <v>1864</v>
      </c>
    </row>
    <row r="169" spans="1:8" x14ac:dyDescent="0.2">
      <c r="A169" s="43" t="s">
        <v>1865</v>
      </c>
    </row>
    <row r="170" spans="1:8" x14ac:dyDescent="0.2">
      <c r="A170" s="43" t="s">
        <v>1866</v>
      </c>
    </row>
    <row r="171" spans="1:8" x14ac:dyDescent="0.2">
      <c r="A171" s="43" t="s">
        <v>1867</v>
      </c>
    </row>
    <row r="172" spans="1:8" x14ac:dyDescent="0.2">
      <c r="A172" s="43" t="s">
        <v>1868</v>
      </c>
    </row>
    <row r="174" spans="1:8" x14ac:dyDescent="0.2">
      <c r="A174" s="43" t="s">
        <v>1946</v>
      </c>
    </row>
    <row r="175" spans="1:8" x14ac:dyDescent="0.2">
      <c r="A175" s="43" t="s">
        <v>1947</v>
      </c>
    </row>
    <row r="177" spans="1:9" x14ac:dyDescent="0.2">
      <c r="B177" s="80"/>
      <c r="C177" s="80">
        <v>0</v>
      </c>
      <c r="D177" s="80">
        <v>1</v>
      </c>
      <c r="E177" s="80">
        <v>2</v>
      </c>
      <c r="F177" s="80">
        <v>3</v>
      </c>
      <c r="G177" s="80" t="s">
        <v>1863</v>
      </c>
    </row>
    <row r="178" spans="1:9" x14ac:dyDescent="0.2">
      <c r="B178" s="80" t="s">
        <v>1855</v>
      </c>
      <c r="C178" s="80">
        <v>-200</v>
      </c>
      <c r="D178" s="80">
        <v>120</v>
      </c>
      <c r="E178" s="80">
        <v>120</v>
      </c>
      <c r="F178" s="80">
        <v>120</v>
      </c>
      <c r="G178" s="226">
        <f>IRR(C178:F178)</f>
        <v>0.36309653946985665</v>
      </c>
    </row>
    <row r="179" spans="1:9" x14ac:dyDescent="0.2">
      <c r="B179" s="80" t="s">
        <v>1856</v>
      </c>
      <c r="C179" s="80">
        <v>-100</v>
      </c>
      <c r="D179" s="80">
        <v>80</v>
      </c>
      <c r="E179" s="80">
        <v>80</v>
      </c>
      <c r="F179" s="80">
        <v>80</v>
      </c>
      <c r="G179" s="226">
        <f>IRR(C179:F179)</f>
        <v>0.60735719639169461</v>
      </c>
    </row>
    <row r="181" spans="1:9" x14ac:dyDescent="0.2">
      <c r="A181" s="43" t="s">
        <v>1948</v>
      </c>
    </row>
    <row r="182" spans="1:9" x14ac:dyDescent="0.2">
      <c r="B182" s="80"/>
      <c r="C182" s="80" t="s">
        <v>1855</v>
      </c>
      <c r="D182" s="80" t="s">
        <v>1856</v>
      </c>
    </row>
    <row r="183" spans="1:9" x14ac:dyDescent="0.2">
      <c r="B183" s="80">
        <v>0</v>
      </c>
      <c r="C183" s="80">
        <v>-200</v>
      </c>
      <c r="D183" s="80">
        <v>-100</v>
      </c>
    </row>
    <row r="184" spans="1:9" x14ac:dyDescent="0.2">
      <c r="B184" s="80">
        <v>1</v>
      </c>
      <c r="C184" s="80">
        <v>120</v>
      </c>
      <c r="D184" s="80">
        <v>80</v>
      </c>
    </row>
    <row r="185" spans="1:9" x14ac:dyDescent="0.2">
      <c r="B185" s="80">
        <v>2</v>
      </c>
      <c r="C185" s="80">
        <v>120</v>
      </c>
      <c r="D185" s="80">
        <v>80</v>
      </c>
    </row>
    <row r="186" spans="1:9" x14ac:dyDescent="0.2">
      <c r="B186" s="80">
        <v>3</v>
      </c>
      <c r="C186" s="80">
        <v>120</v>
      </c>
      <c r="D186" s="80">
        <v>80</v>
      </c>
    </row>
    <row r="188" spans="1:9" ht="16" thickBot="1" x14ac:dyDescent="0.25">
      <c r="C188" s="47" t="s">
        <v>1949</v>
      </c>
      <c r="D188" s="47" t="s">
        <v>1950</v>
      </c>
      <c r="E188" s="288"/>
      <c r="F188" s="288"/>
      <c r="G188" s="288"/>
    </row>
    <row r="189" spans="1:9" s="288" customFormat="1" ht="16" thickBot="1" x14ac:dyDescent="0.25">
      <c r="A189" s="288" t="s">
        <v>1951</v>
      </c>
      <c r="C189" s="536">
        <f>NPV(5%,C184:C186)+C183</f>
        <v>126.78976352445738</v>
      </c>
      <c r="D189" s="294">
        <f>NPV(5%,D184:D186)+D183</f>
        <v>117.85984234963826</v>
      </c>
      <c r="E189" s="720" t="s">
        <v>1952</v>
      </c>
      <c r="F189" s="720"/>
      <c r="G189" s="720"/>
      <c r="H189" s="720"/>
      <c r="I189" s="562" t="s">
        <v>3441</v>
      </c>
    </row>
    <row r="190" spans="1:9" s="288" customFormat="1" ht="16" thickBot="1" x14ac:dyDescent="0.25">
      <c r="A190" s="288" t="s">
        <v>1953</v>
      </c>
      <c r="C190" s="537">
        <f>NPV(9.7%,C184:C186)+C183</f>
        <v>100.00543737920071</v>
      </c>
      <c r="D190" s="537">
        <f>NPV(9.7%,D184:D186)+D183</f>
        <v>100.00362491946717</v>
      </c>
      <c r="E190" s="720" t="s">
        <v>1954</v>
      </c>
      <c r="F190" s="720"/>
      <c r="G190" s="720"/>
      <c r="H190" s="720"/>
      <c r="I190" s="562" t="s">
        <v>3442</v>
      </c>
    </row>
    <row r="191" spans="1:9" ht="16" thickBot="1" x14ac:dyDescent="0.25">
      <c r="A191" s="288" t="s">
        <v>1955</v>
      </c>
      <c r="C191" s="294">
        <f>NPV(15%,C184:C186)+C183</f>
        <v>73.987014054409485</v>
      </c>
      <c r="D191" s="538">
        <f>NPV(15%,D184:D186)+D183</f>
        <v>82.658009369606361</v>
      </c>
      <c r="E191" s="288" t="s">
        <v>2329</v>
      </c>
      <c r="F191" s="288"/>
      <c r="G191" s="288"/>
      <c r="H191" s="288"/>
    </row>
    <row r="192" spans="1:9" s="288" customFormat="1" ht="16" thickBot="1" x14ac:dyDescent="0.25">
      <c r="A192" s="288" t="s">
        <v>1956</v>
      </c>
      <c r="C192" s="294">
        <f>NPV(60.74%,C184:C186)+C183</f>
        <v>-50.006770079154393</v>
      </c>
      <c r="D192" s="538">
        <f>NPV(60.74%,D184:D186)+D183</f>
        <v>-4.5133861029285072E-3</v>
      </c>
      <c r="E192" s="288" t="s">
        <v>1957</v>
      </c>
    </row>
    <row r="194" spans="1:8" x14ac:dyDescent="0.2">
      <c r="A194" s="43" t="s">
        <v>3427</v>
      </c>
    </row>
    <row r="195" spans="1:8" x14ac:dyDescent="0.2">
      <c r="A195" s="43" t="s">
        <v>3428</v>
      </c>
    </row>
    <row r="197" spans="1:8" x14ac:dyDescent="0.2">
      <c r="A197" s="43" t="s">
        <v>3434</v>
      </c>
      <c r="G197" s="47" t="s">
        <v>1869</v>
      </c>
    </row>
    <row r="198" spans="1:8" x14ac:dyDescent="0.2">
      <c r="A198" s="43" t="s">
        <v>3435</v>
      </c>
      <c r="G198" s="47"/>
    </row>
    <row r="199" spans="1:8" x14ac:dyDescent="0.2">
      <c r="A199" s="43" t="s">
        <v>3436</v>
      </c>
      <c r="G199" s="47"/>
    </row>
    <row r="200" spans="1:8" x14ac:dyDescent="0.2">
      <c r="A200" s="43" t="s">
        <v>3437</v>
      </c>
      <c r="G200" s="47"/>
    </row>
    <row r="201" spans="1:8" x14ac:dyDescent="0.2">
      <c r="A201" s="43" t="s">
        <v>3438</v>
      </c>
      <c r="G201" s="47"/>
    </row>
    <row r="202" spans="1:8" x14ac:dyDescent="0.2">
      <c r="A202" s="43" t="s">
        <v>3439</v>
      </c>
      <c r="G202" s="47"/>
      <c r="H202" s="43">
        <v>100</v>
      </c>
    </row>
    <row r="203" spans="1:8" x14ac:dyDescent="0.2">
      <c r="A203" s="43" t="s">
        <v>3440</v>
      </c>
      <c r="G203" s="47"/>
    </row>
    <row r="204" spans="1:8" x14ac:dyDescent="0.2">
      <c r="G204" s="47"/>
    </row>
    <row r="205" spans="1:8" x14ac:dyDescent="0.2">
      <c r="E205" s="72">
        <v>0.60740000000000005</v>
      </c>
      <c r="G205" s="47"/>
    </row>
    <row r="206" spans="1:8" x14ac:dyDescent="0.2">
      <c r="C206" s="43" t="s">
        <v>3429</v>
      </c>
      <c r="G206" s="47"/>
    </row>
    <row r="207" spans="1:8" x14ac:dyDescent="0.2">
      <c r="G207" s="719">
        <v>9.7000000000000003E-2</v>
      </c>
    </row>
    <row r="208" spans="1:8" x14ac:dyDescent="0.2">
      <c r="C208" s="43" t="s">
        <v>1982</v>
      </c>
      <c r="G208" s="47"/>
    </row>
    <row r="209" spans="1:9" x14ac:dyDescent="0.2">
      <c r="D209" s="43" t="s">
        <v>1983</v>
      </c>
      <c r="F209" s="720" t="s">
        <v>3430</v>
      </c>
      <c r="G209" s="720"/>
      <c r="H209" s="720"/>
      <c r="I209" s="720"/>
    </row>
    <row r="210" spans="1:9" x14ac:dyDescent="0.2">
      <c r="F210" s="720" t="s">
        <v>3431</v>
      </c>
      <c r="G210" s="720"/>
      <c r="H210" s="720"/>
      <c r="I210" s="720"/>
    </row>
    <row r="211" spans="1:9" x14ac:dyDescent="0.2">
      <c r="E211" s="179" t="s">
        <v>3443</v>
      </c>
      <c r="F211" s="720" t="s">
        <v>3432</v>
      </c>
      <c r="G211" s="720"/>
      <c r="H211" s="720"/>
      <c r="I211" s="720"/>
    </row>
    <row r="212" spans="1:9" x14ac:dyDescent="0.2">
      <c r="F212" s="720" t="s">
        <v>3433</v>
      </c>
      <c r="G212" s="720"/>
      <c r="H212" s="720"/>
      <c r="I212" s="720"/>
    </row>
    <row r="214" spans="1:9" x14ac:dyDescent="0.2">
      <c r="A214" s="45" t="s">
        <v>2368</v>
      </c>
      <c r="B214" s="46"/>
      <c r="C214" s="46"/>
      <c r="D214" s="46"/>
      <c r="E214" s="46"/>
      <c r="F214" s="247"/>
      <c r="G214" s="247" t="s">
        <v>3444</v>
      </c>
      <c r="H214" s="46"/>
    </row>
    <row r="215" spans="1:9" x14ac:dyDescent="0.2">
      <c r="A215" s="43" t="s">
        <v>3446</v>
      </c>
    </row>
    <row r="217" spans="1:9" x14ac:dyDescent="0.2">
      <c r="B217" s="80" t="s">
        <v>564</v>
      </c>
      <c r="C217" s="80" t="s">
        <v>1855</v>
      </c>
    </row>
    <row r="218" spans="1:9" x14ac:dyDescent="0.2">
      <c r="B218" s="80">
        <v>0</v>
      </c>
      <c r="C218" s="80">
        <v>-200</v>
      </c>
    </row>
    <row r="219" spans="1:9" x14ac:dyDescent="0.2">
      <c r="B219" s="80">
        <v>1</v>
      </c>
      <c r="C219" s="80">
        <v>120</v>
      </c>
    </row>
    <row r="220" spans="1:9" x14ac:dyDescent="0.2">
      <c r="B220" s="80">
        <v>2</v>
      </c>
      <c r="C220" s="80">
        <v>120</v>
      </c>
    </row>
    <row r="221" spans="1:9" x14ac:dyDescent="0.2">
      <c r="B221" s="80">
        <v>3</v>
      </c>
      <c r="C221" s="80">
        <v>120</v>
      </c>
    </row>
    <row r="223" spans="1:9" x14ac:dyDescent="0.2">
      <c r="A223" s="43" t="s">
        <v>3447</v>
      </c>
    </row>
    <row r="225" spans="1:10" x14ac:dyDescent="0.2">
      <c r="A225" s="43" t="s">
        <v>111</v>
      </c>
    </row>
    <row r="226" spans="1:10" x14ac:dyDescent="0.2">
      <c r="A226" s="43" t="s">
        <v>2330</v>
      </c>
    </row>
    <row r="227" spans="1:10" x14ac:dyDescent="0.2">
      <c r="A227" s="43" t="s">
        <v>3448</v>
      </c>
    </row>
    <row r="228" spans="1:10" x14ac:dyDescent="0.2">
      <c r="A228" s="43" t="s">
        <v>2331</v>
      </c>
    </row>
    <row r="229" spans="1:10" ht="16" thickBot="1" x14ac:dyDescent="0.25"/>
    <row r="230" spans="1:10" x14ac:dyDescent="0.2">
      <c r="H230" s="321" t="s">
        <v>3449</v>
      </c>
      <c r="I230" s="212"/>
      <c r="J230" s="213"/>
    </row>
    <row r="231" spans="1:10" x14ac:dyDescent="0.2">
      <c r="E231" s="43" t="s">
        <v>1958</v>
      </c>
      <c r="H231" s="320" t="s">
        <v>2369</v>
      </c>
      <c r="I231" s="760"/>
      <c r="J231" s="215"/>
    </row>
    <row r="232" spans="1:10" ht="16" thickBot="1" x14ac:dyDescent="0.25">
      <c r="H232" s="241" t="s">
        <v>3450</v>
      </c>
      <c r="I232" s="217"/>
      <c r="J232" s="218"/>
    </row>
    <row r="233" spans="1:10" ht="16" thickBot="1" x14ac:dyDescent="0.25"/>
    <row r="234" spans="1:10" x14ac:dyDescent="0.2">
      <c r="H234" s="321" t="s">
        <v>1959</v>
      </c>
      <c r="I234" s="212"/>
      <c r="J234" s="213"/>
    </row>
    <row r="235" spans="1:10" ht="16" thickBot="1" x14ac:dyDescent="0.25">
      <c r="H235" s="234" t="s">
        <v>1921</v>
      </c>
      <c r="I235" s="217"/>
      <c r="J235" s="218"/>
    </row>
    <row r="236" spans="1:10" ht="16" thickBot="1" x14ac:dyDescent="0.25"/>
    <row r="237" spans="1:10" x14ac:dyDescent="0.2">
      <c r="H237" s="321" t="s">
        <v>3451</v>
      </c>
      <c r="I237" s="212"/>
      <c r="J237" s="213"/>
    </row>
    <row r="238" spans="1:10" x14ac:dyDescent="0.2">
      <c r="H238" s="320" t="s">
        <v>1960</v>
      </c>
      <c r="I238" s="760"/>
      <c r="J238" s="215"/>
    </row>
    <row r="239" spans="1:10" x14ac:dyDescent="0.2">
      <c r="A239" s="43" t="s">
        <v>1961</v>
      </c>
      <c r="H239" s="320" t="s">
        <v>3452</v>
      </c>
      <c r="I239" s="760"/>
      <c r="J239" s="215"/>
    </row>
    <row r="240" spans="1:10" ht="16" thickBot="1" x14ac:dyDescent="0.25">
      <c r="H240" s="761" t="s">
        <v>1962</v>
      </c>
      <c r="I240" s="217"/>
      <c r="J240" s="218"/>
    </row>
    <row r="242" spans="1:11" x14ac:dyDescent="0.2">
      <c r="B242" s="47" t="s">
        <v>1949</v>
      </c>
      <c r="H242" s="43" t="s">
        <v>1963</v>
      </c>
    </row>
    <row r="243" spans="1:11" x14ac:dyDescent="0.2">
      <c r="I243" s="544" t="s">
        <v>1964</v>
      </c>
    </row>
    <row r="246" spans="1:11" x14ac:dyDescent="0.2">
      <c r="A246" s="43" t="s">
        <v>3453</v>
      </c>
    </row>
    <row r="247" spans="1:11" x14ac:dyDescent="0.2">
      <c r="A247" s="43" t="s">
        <v>3454</v>
      </c>
    </row>
    <row r="248" spans="1:11" x14ac:dyDescent="0.2">
      <c r="A248" s="43" t="s">
        <v>3455</v>
      </c>
    </row>
    <row r="249" spans="1:11" x14ac:dyDescent="0.2">
      <c r="A249" s="43" t="s">
        <v>3456</v>
      </c>
    </row>
    <row r="250" spans="1:11" x14ac:dyDescent="0.2">
      <c r="A250" s="43" t="s">
        <v>3457</v>
      </c>
    </row>
    <row r="252" spans="1:11" x14ac:dyDescent="0.2">
      <c r="A252" s="45" t="s">
        <v>3462</v>
      </c>
      <c r="B252" s="46"/>
      <c r="C252" s="46"/>
      <c r="D252" s="46"/>
      <c r="E252" s="46"/>
      <c r="F252" s="46"/>
      <c r="G252" s="46"/>
      <c r="H252" s="46"/>
      <c r="I252" s="46"/>
      <c r="J252" s="46"/>
      <c r="K252" s="46"/>
    </row>
    <row r="253" spans="1:11" x14ac:dyDescent="0.2">
      <c r="A253" s="45"/>
      <c r="B253" s="46"/>
      <c r="C253" s="46"/>
      <c r="D253" s="46"/>
      <c r="E253" s="46"/>
      <c r="F253" s="46"/>
      <c r="G253" s="46"/>
      <c r="H253" s="46"/>
      <c r="I253" s="46"/>
      <c r="J253" s="46"/>
      <c r="K253" s="46"/>
    </row>
    <row r="254" spans="1:11" x14ac:dyDescent="0.2">
      <c r="A254" s="45" t="s">
        <v>1029</v>
      </c>
      <c r="B254" s="46"/>
      <c r="C254" s="46"/>
      <c r="D254" s="46"/>
      <c r="E254" s="46"/>
      <c r="F254" s="46"/>
      <c r="G254" s="46"/>
      <c r="H254" s="46"/>
      <c r="I254" s="46"/>
      <c r="J254" s="46"/>
      <c r="K254" s="46"/>
    </row>
    <row r="255" spans="1:11" x14ac:dyDescent="0.2">
      <c r="A255" s="45" t="s">
        <v>3458</v>
      </c>
      <c r="B255" s="46"/>
      <c r="C255" s="46"/>
      <c r="D255" s="46"/>
      <c r="E255" s="46"/>
      <c r="F255" s="46"/>
      <c r="G255" s="46"/>
      <c r="H255" s="46"/>
      <c r="I255" s="46"/>
      <c r="J255" s="46"/>
      <c r="K255" s="46"/>
    </row>
    <row r="256" spans="1:11" x14ac:dyDescent="0.2">
      <c r="A256" s="45" t="s">
        <v>3459</v>
      </c>
      <c r="B256" s="46"/>
      <c r="C256" s="46"/>
      <c r="D256" s="46"/>
      <c r="E256" s="46"/>
      <c r="F256" s="46"/>
      <c r="G256" s="46"/>
      <c r="H256" s="46"/>
      <c r="I256" s="46"/>
      <c r="J256" s="46"/>
      <c r="K256" s="46"/>
    </row>
    <row r="257" spans="1:12" x14ac:dyDescent="0.2">
      <c r="A257" s="45"/>
      <c r="B257" s="46"/>
      <c r="C257" s="46"/>
      <c r="D257" s="46"/>
      <c r="E257" s="46"/>
      <c r="F257" s="46"/>
      <c r="G257" s="46"/>
      <c r="H257" s="46"/>
      <c r="I257" s="46"/>
      <c r="J257" s="46"/>
      <c r="K257" s="46"/>
    </row>
    <row r="258" spans="1:12" x14ac:dyDescent="0.2">
      <c r="A258" s="45" t="s">
        <v>3460</v>
      </c>
      <c r="B258" s="46"/>
      <c r="C258" s="46"/>
      <c r="D258" s="46"/>
      <c r="E258" s="46"/>
      <c r="F258" s="46"/>
      <c r="G258" s="46"/>
      <c r="H258" s="46"/>
      <c r="I258" s="46"/>
      <c r="J258" s="46"/>
      <c r="K258" s="46"/>
    </row>
    <row r="259" spans="1:12" x14ac:dyDescent="0.2">
      <c r="A259" s="45" t="s">
        <v>3461</v>
      </c>
      <c r="B259" s="46"/>
      <c r="C259" s="46"/>
      <c r="D259" s="46"/>
      <c r="E259" s="46"/>
      <c r="F259" s="46"/>
      <c r="G259" s="46"/>
      <c r="H259" s="46"/>
      <c r="I259" s="46"/>
      <c r="J259" s="46"/>
      <c r="K259" s="46"/>
    </row>
    <row r="260" spans="1:12" x14ac:dyDescent="0.2">
      <c r="A260" s="44"/>
    </row>
    <row r="261" spans="1:12" x14ac:dyDescent="0.2">
      <c r="A261" s="43" t="s">
        <v>3463</v>
      </c>
    </row>
    <row r="262" spans="1:12" x14ac:dyDescent="0.2">
      <c r="A262" s="43" t="s">
        <v>3464</v>
      </c>
    </row>
    <row r="264" spans="1:12" x14ac:dyDescent="0.2">
      <c r="A264" s="80"/>
      <c r="B264" s="80">
        <v>0</v>
      </c>
      <c r="C264" s="80">
        <v>1</v>
      </c>
      <c r="D264" s="80">
        <v>2</v>
      </c>
      <c r="E264" s="80">
        <v>3</v>
      </c>
      <c r="F264" s="80">
        <v>4</v>
      </c>
      <c r="G264" s="80" t="s">
        <v>1869</v>
      </c>
      <c r="H264" s="80" t="s">
        <v>1870</v>
      </c>
    </row>
    <row r="265" spans="1:12" x14ac:dyDescent="0.2">
      <c r="A265" s="80" t="s">
        <v>1855</v>
      </c>
      <c r="B265" s="80">
        <v>-100</v>
      </c>
      <c r="C265" s="80">
        <v>100</v>
      </c>
      <c r="D265" s="80">
        <v>0</v>
      </c>
      <c r="E265" s="80">
        <v>100</v>
      </c>
      <c r="F265" s="80">
        <v>0</v>
      </c>
      <c r="G265" s="80"/>
      <c r="H265" s="80"/>
    </row>
    <row r="266" spans="1:12" x14ac:dyDescent="0.2">
      <c r="A266" s="80" t="s">
        <v>1856</v>
      </c>
      <c r="B266" s="80">
        <v>-150</v>
      </c>
      <c r="C266" s="80">
        <v>0</v>
      </c>
      <c r="D266" s="80">
        <v>100</v>
      </c>
      <c r="E266" s="80">
        <v>0</v>
      </c>
      <c r="F266" s="80">
        <v>200</v>
      </c>
      <c r="G266" s="80"/>
      <c r="H266" s="80"/>
    </row>
    <row r="267" spans="1:12" x14ac:dyDescent="0.2">
      <c r="A267" s="80" t="s">
        <v>1857</v>
      </c>
      <c r="B267" s="80">
        <v>-300</v>
      </c>
      <c r="C267" s="80">
        <v>300</v>
      </c>
      <c r="D267" s="80">
        <v>0</v>
      </c>
      <c r="E267" s="80">
        <v>200</v>
      </c>
      <c r="F267" s="80">
        <v>0</v>
      </c>
      <c r="G267" s="80"/>
      <c r="H267" s="80"/>
    </row>
    <row r="268" spans="1:12" x14ac:dyDescent="0.2">
      <c r="A268" s="80" t="s">
        <v>1871</v>
      </c>
      <c r="B268" s="80">
        <v>-50</v>
      </c>
      <c r="C268" s="80">
        <v>0</v>
      </c>
      <c r="D268" s="80">
        <v>0</v>
      </c>
      <c r="E268" s="80">
        <v>120</v>
      </c>
      <c r="F268" s="80">
        <v>0</v>
      </c>
      <c r="G268" s="80"/>
      <c r="H268" s="80"/>
    </row>
    <row r="269" spans="1:12" x14ac:dyDescent="0.2">
      <c r="A269" s="80" t="s">
        <v>1872</v>
      </c>
      <c r="B269" s="80">
        <v>-500</v>
      </c>
      <c r="C269" s="80">
        <v>0</v>
      </c>
      <c r="D269" s="80">
        <v>0</v>
      </c>
      <c r="E269" s="80">
        <v>400</v>
      </c>
      <c r="F269" s="80">
        <v>500</v>
      </c>
      <c r="G269" s="80"/>
      <c r="H269" s="80"/>
    </row>
    <row r="271" spans="1:12" x14ac:dyDescent="0.2">
      <c r="A271" s="43" t="s">
        <v>1873</v>
      </c>
      <c r="L271" s="43" t="s">
        <v>3470</v>
      </c>
    </row>
    <row r="272" spans="1:12" x14ac:dyDescent="0.2">
      <c r="L272" s="43" t="s">
        <v>3471</v>
      </c>
    </row>
    <row r="273" spans="1:18" x14ac:dyDescent="0.2">
      <c r="A273" s="44" t="s">
        <v>111</v>
      </c>
      <c r="B273" s="43" t="s">
        <v>3465</v>
      </c>
      <c r="L273" s="43" t="s">
        <v>3472</v>
      </c>
    </row>
    <row r="274" spans="1:18" x14ac:dyDescent="0.2">
      <c r="A274" s="44"/>
      <c r="B274" s="43" t="s">
        <v>3466</v>
      </c>
    </row>
    <row r="275" spans="1:18" x14ac:dyDescent="0.2">
      <c r="A275" s="44"/>
      <c r="B275" s="43" t="s">
        <v>3467</v>
      </c>
    </row>
    <row r="276" spans="1:18" x14ac:dyDescent="0.2">
      <c r="A276" s="44"/>
      <c r="B276" s="43" t="s">
        <v>3468</v>
      </c>
    </row>
    <row r="277" spans="1:18" x14ac:dyDescent="0.2">
      <c r="A277" s="44"/>
    </row>
    <row r="278" spans="1:18" ht="112" x14ac:dyDescent="0.2">
      <c r="A278" s="80"/>
      <c r="B278" s="80">
        <v>0</v>
      </c>
      <c r="C278" s="80">
        <v>1</v>
      </c>
      <c r="D278" s="80">
        <v>2</v>
      </c>
      <c r="E278" s="80">
        <v>3</v>
      </c>
      <c r="F278" s="80">
        <v>4</v>
      </c>
      <c r="G278" s="762" t="s">
        <v>3469</v>
      </c>
      <c r="H278" s="549" t="s">
        <v>2377</v>
      </c>
      <c r="I278" s="551" t="s">
        <v>2332</v>
      </c>
      <c r="L278" s="764" t="s">
        <v>3476</v>
      </c>
      <c r="M278" s="763"/>
      <c r="N278" s="763"/>
      <c r="O278" s="763"/>
      <c r="P278" s="763"/>
      <c r="Q278" s="763"/>
      <c r="R278" s="763"/>
    </row>
    <row r="279" spans="1:18" x14ac:dyDescent="0.2">
      <c r="A279" s="80" t="s">
        <v>1855</v>
      </c>
      <c r="B279" s="80">
        <v>-100</v>
      </c>
      <c r="C279" s="80">
        <v>100</v>
      </c>
      <c r="D279" s="80">
        <v>0</v>
      </c>
      <c r="E279" s="80">
        <v>100</v>
      </c>
      <c r="F279" s="80">
        <v>0</v>
      </c>
      <c r="G279" s="248">
        <f>NPV(10%,C279:F279)+B279</f>
        <v>66.040570999248644</v>
      </c>
      <c r="H279" s="550">
        <f>G279/ABS(B279)</f>
        <v>0.66040570999248649</v>
      </c>
      <c r="I279" s="551">
        <v>2</v>
      </c>
    </row>
    <row r="280" spans="1:18" x14ac:dyDescent="0.2">
      <c r="A280" s="80" t="s">
        <v>1856</v>
      </c>
      <c r="B280" s="80">
        <v>-150</v>
      </c>
      <c r="C280" s="80">
        <v>0</v>
      </c>
      <c r="D280" s="80">
        <v>100</v>
      </c>
      <c r="E280" s="80">
        <v>0</v>
      </c>
      <c r="F280" s="80">
        <v>200</v>
      </c>
      <c r="G280" s="248">
        <f t="shared" ref="G280:G283" si="4">NPV(10%,C280:F280)+B280</f>
        <v>69.247319172187616</v>
      </c>
      <c r="H280" s="550">
        <f t="shared" ref="H280:H283" si="5">G280/ABS(B280)</f>
        <v>0.46164879448125079</v>
      </c>
      <c r="I280" s="551">
        <v>3</v>
      </c>
    </row>
    <row r="281" spans="1:18" x14ac:dyDescent="0.2">
      <c r="A281" s="80" t="s">
        <v>1857</v>
      </c>
      <c r="B281" s="80">
        <v>-300</v>
      </c>
      <c r="C281" s="80">
        <v>300</v>
      </c>
      <c r="D281" s="80">
        <v>0</v>
      </c>
      <c r="E281" s="80">
        <v>200</v>
      </c>
      <c r="F281" s="80">
        <v>0</v>
      </c>
      <c r="G281" s="248">
        <f t="shared" si="4"/>
        <v>122.99023290758822</v>
      </c>
      <c r="H281" s="550">
        <f t="shared" si="5"/>
        <v>0.40996744302529409</v>
      </c>
      <c r="I281" s="551">
        <v>4</v>
      </c>
    </row>
    <row r="282" spans="1:18" x14ac:dyDescent="0.2">
      <c r="A282" s="80" t="s">
        <v>1871</v>
      </c>
      <c r="B282" s="80">
        <v>-50</v>
      </c>
      <c r="C282" s="80">
        <v>0</v>
      </c>
      <c r="D282" s="80">
        <v>0</v>
      </c>
      <c r="E282" s="80">
        <v>120</v>
      </c>
      <c r="F282" s="80">
        <v>0</v>
      </c>
      <c r="G282" s="248">
        <f t="shared" si="4"/>
        <v>40.15777610818931</v>
      </c>
      <c r="H282" s="550">
        <f t="shared" si="5"/>
        <v>0.80315552216378616</v>
      </c>
      <c r="I282" s="551">
        <v>1</v>
      </c>
    </row>
    <row r="283" spans="1:18" x14ac:dyDescent="0.2">
      <c r="A283" s="80" t="s">
        <v>1872</v>
      </c>
      <c r="B283" s="80">
        <v>-500</v>
      </c>
      <c r="C283" s="80">
        <v>0</v>
      </c>
      <c r="D283" s="80">
        <v>0</v>
      </c>
      <c r="E283" s="80">
        <v>400</v>
      </c>
      <c r="F283" s="80">
        <v>500</v>
      </c>
      <c r="G283" s="248">
        <f t="shared" si="4"/>
        <v>142.03264804316632</v>
      </c>
      <c r="H283" s="550">
        <f t="shared" si="5"/>
        <v>0.28406529608633263</v>
      </c>
      <c r="I283" s="551">
        <v>5</v>
      </c>
      <c r="J283" s="283"/>
    </row>
    <row r="284" spans="1:18" x14ac:dyDescent="0.2">
      <c r="A284" s="44"/>
      <c r="L284" s="43" t="s">
        <v>3473</v>
      </c>
    </row>
    <row r="285" spans="1:18" x14ac:dyDescent="0.2">
      <c r="A285" s="44" t="s">
        <v>1965</v>
      </c>
    </row>
    <row r="286" spans="1:18" x14ac:dyDescent="0.2">
      <c r="A286" s="43" t="s">
        <v>1966</v>
      </c>
    </row>
    <row r="287" spans="1:18" x14ac:dyDescent="0.2">
      <c r="A287" s="43" t="s">
        <v>1967</v>
      </c>
    </row>
    <row r="289" spans="1:16" x14ac:dyDescent="0.2">
      <c r="A289" s="44" t="s">
        <v>2333</v>
      </c>
      <c r="N289" s="43" t="s">
        <v>3475</v>
      </c>
    </row>
    <row r="290" spans="1:16" x14ac:dyDescent="0.2">
      <c r="A290" s="44"/>
    </row>
    <row r="291" spans="1:16" x14ac:dyDescent="0.2">
      <c r="A291" s="43" t="s">
        <v>2334</v>
      </c>
    </row>
    <row r="292" spans="1:16" x14ac:dyDescent="0.2">
      <c r="A292" s="43" t="s">
        <v>1968</v>
      </c>
      <c r="M292" s="43" t="s">
        <v>3474</v>
      </c>
    </row>
    <row r="293" spans="1:16" x14ac:dyDescent="0.2">
      <c r="A293" s="43" t="s">
        <v>2378</v>
      </c>
    </row>
    <row r="295" spans="1:16" ht="32" x14ac:dyDescent="0.2">
      <c r="A295" s="80"/>
      <c r="B295" s="80" t="s">
        <v>1870</v>
      </c>
      <c r="C295" s="231" t="s">
        <v>1969</v>
      </c>
      <c r="D295" s="231" t="s">
        <v>1970</v>
      </c>
      <c r="E295" s="762" t="s">
        <v>3478</v>
      </c>
    </row>
    <row r="296" spans="1:16" x14ac:dyDescent="0.2">
      <c r="A296" s="765" t="s">
        <v>3477</v>
      </c>
      <c r="B296" s="80"/>
      <c r="C296" s="766"/>
      <c r="D296" s="80">
        <v>500</v>
      </c>
      <c r="E296" s="766"/>
    </row>
    <row r="297" spans="1:16" x14ac:dyDescent="0.2">
      <c r="A297" s="284" t="s">
        <v>1871</v>
      </c>
      <c r="B297" s="287">
        <f>H282</f>
        <v>0.80315552216378616</v>
      </c>
      <c r="C297" s="284">
        <f>MIN(ABS(B282),D296)</f>
        <v>50</v>
      </c>
      <c r="D297" s="284">
        <f>D296-C297</f>
        <v>450</v>
      </c>
      <c r="E297" s="285">
        <f>G282</f>
        <v>40.15777610818931</v>
      </c>
    </row>
    <row r="298" spans="1:16" x14ac:dyDescent="0.2">
      <c r="A298" s="284" t="s">
        <v>1855</v>
      </c>
      <c r="B298" s="287">
        <f>H279</f>
        <v>0.66040570999248649</v>
      </c>
      <c r="C298" s="284">
        <f>MIN(ABS(B279),D297)</f>
        <v>100</v>
      </c>
      <c r="D298" s="284">
        <f>D297-C298</f>
        <v>350</v>
      </c>
      <c r="E298" s="285">
        <f>G279</f>
        <v>66.040570999248644</v>
      </c>
      <c r="I298" s="43" t="s">
        <v>3480</v>
      </c>
      <c r="P298" s="43" t="s">
        <v>3482</v>
      </c>
    </row>
    <row r="299" spans="1:16" x14ac:dyDescent="0.2">
      <c r="A299" s="284" t="s">
        <v>1856</v>
      </c>
      <c r="B299" s="287">
        <f>H280</f>
        <v>0.46164879448125079</v>
      </c>
      <c r="C299" s="284">
        <f>MIN(ABS(B280),D298)</f>
        <v>150</v>
      </c>
      <c r="D299" s="284">
        <f>D298-C299</f>
        <v>200</v>
      </c>
      <c r="E299" s="285">
        <f>G280</f>
        <v>69.247319172187616</v>
      </c>
      <c r="P299" s="43" t="s">
        <v>3483</v>
      </c>
    </row>
    <row r="300" spans="1:16" x14ac:dyDescent="0.2">
      <c r="A300" s="284" t="s">
        <v>1857</v>
      </c>
      <c r="B300" s="287">
        <f>H281</f>
        <v>0.40996744302529409</v>
      </c>
      <c r="C300" s="286">
        <f>MIN(ABS(B281),D299)</f>
        <v>200</v>
      </c>
      <c r="D300" s="284">
        <f>D299-C300</f>
        <v>0</v>
      </c>
      <c r="E300" s="287">
        <f>C300/ABS(B281)*G281</f>
        <v>81.993488605058815</v>
      </c>
      <c r="H300" s="43" t="s">
        <v>1972</v>
      </c>
      <c r="P300" s="43" t="s">
        <v>3484</v>
      </c>
    </row>
    <row r="301" spans="1:16" s="288" customFormat="1" x14ac:dyDescent="0.2">
      <c r="A301" s="288" t="s">
        <v>3488</v>
      </c>
      <c r="C301" s="29"/>
      <c r="D301" s="29"/>
      <c r="E301" s="289">
        <f>SUM(E297:E300)</f>
        <v>257.4391548846844</v>
      </c>
      <c r="P301" s="288" t="s">
        <v>3485</v>
      </c>
    </row>
    <row r="302" spans="1:16" x14ac:dyDescent="0.2">
      <c r="G302" s="43" t="s">
        <v>3481</v>
      </c>
      <c r="I302" s="43" t="s">
        <v>3479</v>
      </c>
      <c r="P302" s="43" t="s">
        <v>3487</v>
      </c>
    </row>
    <row r="304" spans="1:16" x14ac:dyDescent="0.2">
      <c r="A304" s="44" t="s">
        <v>3489</v>
      </c>
      <c r="B304" s="44"/>
      <c r="C304" s="44"/>
      <c r="D304" s="44"/>
      <c r="E304" s="44"/>
      <c r="F304" s="44"/>
      <c r="G304" s="44"/>
    </row>
    <row r="305" spans="1:16" x14ac:dyDescent="0.2">
      <c r="A305" s="44" t="s">
        <v>3490</v>
      </c>
      <c r="B305" s="44"/>
      <c r="C305" s="44"/>
      <c r="D305" s="44"/>
      <c r="E305" s="44"/>
      <c r="F305" s="44"/>
      <c r="G305" s="44"/>
    </row>
    <row r="307" spans="1:16" x14ac:dyDescent="0.2">
      <c r="A307" s="767" t="s">
        <v>3491</v>
      </c>
      <c r="B307" s="767"/>
      <c r="C307" s="767"/>
      <c r="D307" s="767"/>
      <c r="E307" s="767"/>
      <c r="F307" s="767"/>
      <c r="G307" s="767"/>
      <c r="H307" s="767"/>
      <c r="P307" s="43" t="s">
        <v>3486</v>
      </c>
    </row>
    <row r="308" spans="1:16" x14ac:dyDescent="0.2">
      <c r="A308" s="767" t="s">
        <v>1974</v>
      </c>
      <c r="B308" s="767"/>
      <c r="C308" s="767"/>
      <c r="D308" s="767"/>
      <c r="E308" s="767"/>
      <c r="F308" s="767"/>
      <c r="G308" s="767"/>
      <c r="H308" s="767"/>
    </row>
    <row r="309" spans="1:16" x14ac:dyDescent="0.2">
      <c r="A309" s="767" t="s">
        <v>1975</v>
      </c>
      <c r="B309" s="767"/>
      <c r="C309" s="767"/>
      <c r="D309" s="767"/>
      <c r="E309" s="767"/>
      <c r="F309" s="767"/>
      <c r="G309" s="767"/>
      <c r="H309" s="767"/>
    </row>
    <row r="310" spans="1:16" x14ac:dyDescent="0.2">
      <c r="A310" s="767" t="s">
        <v>1976</v>
      </c>
      <c r="B310" s="767"/>
      <c r="C310" s="767"/>
      <c r="D310" s="767"/>
      <c r="E310" s="767"/>
      <c r="F310" s="767"/>
      <c r="G310" s="767"/>
      <c r="H310" s="767"/>
    </row>
    <row r="311" spans="1:16" x14ac:dyDescent="0.2">
      <c r="A311" s="767" t="s">
        <v>1977</v>
      </c>
      <c r="B311" s="767"/>
      <c r="C311" s="767"/>
      <c r="D311" s="767"/>
      <c r="E311" s="767"/>
      <c r="F311" s="767"/>
      <c r="G311" s="767"/>
      <c r="H311" s="767"/>
    </row>
    <row r="312" spans="1:16" x14ac:dyDescent="0.2">
      <c r="A312" s="767"/>
      <c r="B312" s="767"/>
      <c r="C312" s="767"/>
      <c r="D312" s="767"/>
      <c r="E312" s="767"/>
      <c r="F312" s="767"/>
      <c r="G312" s="767"/>
      <c r="H312" s="767"/>
    </row>
    <row r="313" spans="1:16" x14ac:dyDescent="0.2">
      <c r="A313" s="768" t="s">
        <v>2379</v>
      </c>
      <c r="B313" s="767"/>
      <c r="C313" s="767"/>
      <c r="D313" s="767"/>
      <c r="E313" s="767"/>
      <c r="F313" s="767"/>
      <c r="G313" s="767"/>
      <c r="H313" s="767"/>
    </row>
    <row r="317" spans="1:16" x14ac:dyDescent="0.2">
      <c r="A317" s="44" t="s">
        <v>1978</v>
      </c>
    </row>
    <row r="321" spans="1:8" x14ac:dyDescent="0.2">
      <c r="A321" s="45" t="s">
        <v>1874</v>
      </c>
      <c r="B321" s="45"/>
      <c r="C321" s="45"/>
      <c r="D321" s="45"/>
      <c r="E321" s="45"/>
      <c r="F321" s="45"/>
      <c r="G321" s="45"/>
      <c r="H321" s="45" t="s">
        <v>780</v>
      </c>
    </row>
    <row r="322" spans="1:8" x14ac:dyDescent="0.2">
      <c r="A322" s="43" t="s">
        <v>1875</v>
      </c>
    </row>
    <row r="323" spans="1:8" x14ac:dyDescent="0.2">
      <c r="A323" s="43" t="s">
        <v>1876</v>
      </c>
    </row>
    <row r="324" spans="1:8" x14ac:dyDescent="0.2">
      <c r="B324" s="80"/>
      <c r="C324" s="80">
        <v>0</v>
      </c>
      <c r="D324" s="80">
        <v>1</v>
      </c>
      <c r="E324" s="80">
        <v>2</v>
      </c>
      <c r="F324" s="80">
        <v>3</v>
      </c>
      <c r="G324" s="80">
        <v>4</v>
      </c>
      <c r="H324" s="80">
        <v>5</v>
      </c>
    </row>
    <row r="325" spans="1:8" x14ac:dyDescent="0.2">
      <c r="B325" s="80" t="s">
        <v>1855</v>
      </c>
      <c r="C325" s="80">
        <v>-1500</v>
      </c>
      <c r="D325" s="80">
        <v>0</v>
      </c>
      <c r="E325" s="80">
        <v>0</v>
      </c>
      <c r="F325" s="80">
        <v>2000</v>
      </c>
      <c r="G325" s="80">
        <v>0</v>
      </c>
      <c r="H325" s="80">
        <v>0</v>
      </c>
    </row>
    <row r="326" spans="1:8" x14ac:dyDescent="0.2">
      <c r="B326" s="80" t="s">
        <v>1856</v>
      </c>
      <c r="C326" s="80">
        <v>-2000</v>
      </c>
      <c r="D326" s="80">
        <v>600</v>
      </c>
      <c r="E326" s="80">
        <v>600</v>
      </c>
      <c r="F326" s="80">
        <v>600</v>
      </c>
      <c r="G326" s="80">
        <v>600</v>
      </c>
      <c r="H326" s="80">
        <v>600</v>
      </c>
    </row>
    <row r="328" spans="1:8" x14ac:dyDescent="0.2">
      <c r="A328" s="43" t="s">
        <v>111</v>
      </c>
    </row>
    <row r="330" spans="1:8" x14ac:dyDescent="0.2">
      <c r="A330" s="43" t="s">
        <v>2335</v>
      </c>
      <c r="C330" s="540">
        <f>NPV(10%,D325:H325)+C325</f>
        <v>2.629601803155083</v>
      </c>
    </row>
    <row r="331" spans="1:8" x14ac:dyDescent="0.2">
      <c r="A331" s="43" t="s">
        <v>2336</v>
      </c>
      <c r="C331" s="540">
        <f>NPV(10%,D326:H326)+C326</f>
        <v>274.47206164506861</v>
      </c>
    </row>
    <row r="333" spans="1:8" x14ac:dyDescent="0.2">
      <c r="A333" s="43" t="s">
        <v>2337</v>
      </c>
    </row>
    <row r="336" spans="1:8" x14ac:dyDescent="0.2">
      <c r="A336" s="45" t="s">
        <v>1877</v>
      </c>
      <c r="B336" s="45"/>
      <c r="C336" s="45"/>
      <c r="D336" s="45"/>
      <c r="E336" s="45"/>
      <c r="F336" s="45"/>
      <c r="G336" s="45"/>
      <c r="H336" s="45" t="s">
        <v>780</v>
      </c>
    </row>
    <row r="337" spans="1:8" x14ac:dyDescent="0.2">
      <c r="A337" s="43" t="s">
        <v>1878</v>
      </c>
    </row>
    <row r="338" spans="1:8" x14ac:dyDescent="0.2">
      <c r="A338" s="43" t="s">
        <v>1879</v>
      </c>
    </row>
    <row r="341" spans="1:8" x14ac:dyDescent="0.2">
      <c r="B341" s="80"/>
      <c r="C341" s="80">
        <v>0</v>
      </c>
      <c r="D341" s="80">
        <v>1</v>
      </c>
      <c r="E341" s="80">
        <v>2</v>
      </c>
      <c r="F341" s="80">
        <v>3</v>
      </c>
      <c r="G341" s="80">
        <v>4</v>
      </c>
      <c r="H341" s="80">
        <v>5</v>
      </c>
    </row>
    <row r="342" spans="1:8" x14ac:dyDescent="0.2">
      <c r="B342" s="80" t="s">
        <v>1855</v>
      </c>
      <c r="C342" s="80">
        <v>-50</v>
      </c>
      <c r="D342" s="80">
        <v>17</v>
      </c>
      <c r="E342" s="80">
        <v>17</v>
      </c>
      <c r="F342" s="80">
        <v>17</v>
      </c>
      <c r="G342" s="80">
        <v>17</v>
      </c>
      <c r="H342" s="80">
        <v>17</v>
      </c>
    </row>
    <row r="343" spans="1:8" x14ac:dyDescent="0.2">
      <c r="B343" s="80" t="s">
        <v>1856</v>
      </c>
      <c r="C343" s="80">
        <v>-32</v>
      </c>
      <c r="D343" s="80">
        <v>12</v>
      </c>
      <c r="E343" s="80">
        <v>12</v>
      </c>
      <c r="F343" s="80">
        <v>12</v>
      </c>
      <c r="G343" s="80">
        <v>12</v>
      </c>
      <c r="H343" s="80">
        <v>12</v>
      </c>
    </row>
    <row r="345" spans="1:8" x14ac:dyDescent="0.2">
      <c r="A345" s="43" t="s">
        <v>111</v>
      </c>
    </row>
    <row r="347" spans="1:8" x14ac:dyDescent="0.2">
      <c r="A347" s="43" t="s">
        <v>2335</v>
      </c>
      <c r="C347" s="540">
        <f>NPV(10%,D342:H342)+C342</f>
        <v>14.443375079943607</v>
      </c>
      <c r="D347" s="43" t="s">
        <v>2338</v>
      </c>
      <c r="E347" s="161">
        <f>IRR(C342:H342)</f>
        <v>0.20761658990335685</v>
      </c>
    </row>
    <row r="348" spans="1:8" x14ac:dyDescent="0.2">
      <c r="A348" s="43" t="s">
        <v>2336</v>
      </c>
      <c r="C348" s="540">
        <f>NPV(10%,D343:H343)+C343</f>
        <v>13.489441232901363</v>
      </c>
      <c r="D348" s="43" t="s">
        <v>2339</v>
      </c>
      <c r="E348" s="161">
        <f>IRR(C343:H343)</f>
        <v>0.25413002038866117</v>
      </c>
    </row>
    <row r="350" spans="1:8" x14ac:dyDescent="0.2">
      <c r="A350" s="43" t="s">
        <v>2340</v>
      </c>
    </row>
    <row r="351" spans="1:8" x14ac:dyDescent="0.2">
      <c r="A351" s="43" t="s">
        <v>2341</v>
      </c>
    </row>
    <row r="355" spans="1:8" x14ac:dyDescent="0.2">
      <c r="A355" s="45" t="s">
        <v>1979</v>
      </c>
      <c r="B355" s="45"/>
      <c r="C355" s="45"/>
      <c r="D355" s="45"/>
      <c r="E355" s="45"/>
      <c r="F355" s="45"/>
      <c r="G355" s="45"/>
      <c r="H355" s="45" t="s">
        <v>780</v>
      </c>
    </row>
    <row r="356" spans="1:8" x14ac:dyDescent="0.2">
      <c r="A356" s="43" t="s">
        <v>1980</v>
      </c>
    </row>
    <row r="357" spans="1:8" x14ac:dyDescent="0.2">
      <c r="A357" s="43" t="s">
        <v>1880</v>
      </c>
    </row>
    <row r="358" spans="1:8" x14ac:dyDescent="0.2">
      <c r="A358" s="43" t="s">
        <v>1881</v>
      </c>
    </row>
    <row r="359" spans="1:8" x14ac:dyDescent="0.2">
      <c r="B359" s="80"/>
      <c r="C359" s="80" t="s">
        <v>1882</v>
      </c>
      <c r="D359" s="80" t="s">
        <v>1869</v>
      </c>
      <c r="E359" s="80" t="s">
        <v>1870</v>
      </c>
    </row>
    <row r="360" spans="1:8" x14ac:dyDescent="0.2">
      <c r="B360" s="80" t="s">
        <v>1855</v>
      </c>
      <c r="C360" s="186">
        <v>-50000</v>
      </c>
      <c r="D360" s="186">
        <v>35000</v>
      </c>
      <c r="E360" s="80"/>
    </row>
    <row r="361" spans="1:8" x14ac:dyDescent="0.2">
      <c r="B361" s="80" t="s">
        <v>1856</v>
      </c>
      <c r="C361" s="186">
        <v>-150000</v>
      </c>
      <c r="D361" s="186">
        <v>114000</v>
      </c>
      <c r="E361" s="80"/>
    </row>
    <row r="362" spans="1:8" x14ac:dyDescent="0.2">
      <c r="B362" s="80" t="s">
        <v>1857</v>
      </c>
      <c r="C362" s="186">
        <v>-100000</v>
      </c>
      <c r="D362" s="186">
        <v>56000</v>
      </c>
      <c r="E362" s="80"/>
    </row>
    <row r="363" spans="1:8" x14ac:dyDescent="0.2">
      <c r="B363" s="80" t="s">
        <v>1871</v>
      </c>
      <c r="C363" s="186">
        <v>-50000</v>
      </c>
      <c r="D363" s="186">
        <v>155000</v>
      </c>
      <c r="E363" s="80"/>
    </row>
    <row r="364" spans="1:8" x14ac:dyDescent="0.2">
      <c r="B364" s="80" t="s">
        <v>1872</v>
      </c>
      <c r="C364" s="186">
        <v>-30000</v>
      </c>
      <c r="D364" s="186">
        <v>88000</v>
      </c>
      <c r="E364" s="80"/>
    </row>
    <row r="366" spans="1:8" x14ac:dyDescent="0.2">
      <c r="A366" s="43" t="s">
        <v>2347</v>
      </c>
    </row>
    <row r="367" spans="1:8" x14ac:dyDescent="0.2">
      <c r="A367" s="43" t="s">
        <v>2342</v>
      </c>
    </row>
    <row r="368" spans="1:8" x14ac:dyDescent="0.2">
      <c r="A368" s="43" t="s">
        <v>2343</v>
      </c>
    </row>
    <row r="370" spans="1:6" x14ac:dyDescent="0.2">
      <c r="B370" s="80"/>
      <c r="C370" s="80" t="s">
        <v>1882</v>
      </c>
      <c r="D370" s="80" t="s">
        <v>1869</v>
      </c>
      <c r="E370" s="80" t="s">
        <v>1870</v>
      </c>
      <c r="F370" s="80" t="s">
        <v>2344</v>
      </c>
    </row>
    <row r="371" spans="1:6" x14ac:dyDescent="0.2">
      <c r="B371" s="80" t="s">
        <v>1855</v>
      </c>
      <c r="C371" s="186">
        <v>-50000</v>
      </c>
      <c r="D371" s="186">
        <v>35000</v>
      </c>
      <c r="E371" s="284">
        <f>D371/ABS(C371)</f>
        <v>0.7</v>
      </c>
      <c r="F371" s="284">
        <f>RANK(E371,$E$371:$E$375,0)</f>
        <v>4</v>
      </c>
    </row>
    <row r="372" spans="1:6" x14ac:dyDescent="0.2">
      <c r="B372" s="80" t="s">
        <v>1856</v>
      </c>
      <c r="C372" s="186">
        <v>-150000</v>
      </c>
      <c r="D372" s="186">
        <v>114000</v>
      </c>
      <c r="E372" s="284">
        <f t="shared" ref="E372:E375" si="6">D372/ABS(C372)</f>
        <v>0.76</v>
      </c>
      <c r="F372" s="284">
        <f t="shared" ref="F372:F375" si="7">RANK(E372,$E$371:$E$375,0)</f>
        <v>3</v>
      </c>
    </row>
    <row r="373" spans="1:6" x14ac:dyDescent="0.2">
      <c r="B373" s="80" t="s">
        <v>1857</v>
      </c>
      <c r="C373" s="186">
        <v>-100000</v>
      </c>
      <c r="D373" s="186">
        <v>56000</v>
      </c>
      <c r="E373" s="284">
        <f t="shared" si="6"/>
        <v>0.56000000000000005</v>
      </c>
      <c r="F373" s="284">
        <f t="shared" si="7"/>
        <v>5</v>
      </c>
    </row>
    <row r="374" spans="1:6" x14ac:dyDescent="0.2">
      <c r="B374" s="80" t="s">
        <v>1871</v>
      </c>
      <c r="C374" s="186">
        <v>-50000</v>
      </c>
      <c r="D374" s="186">
        <v>155000</v>
      </c>
      <c r="E374" s="284">
        <f t="shared" si="6"/>
        <v>3.1</v>
      </c>
      <c r="F374" s="284">
        <f t="shared" si="7"/>
        <v>1</v>
      </c>
    </row>
    <row r="375" spans="1:6" x14ac:dyDescent="0.2">
      <c r="B375" s="80" t="s">
        <v>1872</v>
      </c>
      <c r="C375" s="186">
        <v>-30000</v>
      </c>
      <c r="D375" s="186">
        <v>88000</v>
      </c>
      <c r="E375" s="287">
        <f t="shared" si="6"/>
        <v>2.9333333333333331</v>
      </c>
      <c r="F375" s="284">
        <f t="shared" si="7"/>
        <v>2</v>
      </c>
    </row>
    <row r="377" spans="1:6" x14ac:dyDescent="0.2">
      <c r="A377" s="43" t="s">
        <v>2345</v>
      </c>
    </row>
    <row r="378" spans="1:6" x14ac:dyDescent="0.2">
      <c r="A378" s="43" t="s">
        <v>2346</v>
      </c>
    </row>
    <row r="380" spans="1:6" x14ac:dyDescent="0.2">
      <c r="A380" s="80"/>
      <c r="B380" s="80" t="s">
        <v>1870</v>
      </c>
      <c r="C380" s="231" t="s">
        <v>1969</v>
      </c>
      <c r="D380" s="231" t="s">
        <v>1970</v>
      </c>
      <c r="E380" s="231" t="s">
        <v>1971</v>
      </c>
    </row>
    <row r="381" spans="1:6" x14ac:dyDescent="0.2">
      <c r="A381" s="80" t="s">
        <v>1871</v>
      </c>
      <c r="B381" s="287">
        <f>E374</f>
        <v>3.1</v>
      </c>
      <c r="C381" s="290">
        <f>C374</f>
        <v>-50000</v>
      </c>
      <c r="D381" s="290">
        <f>320000+C381</f>
        <v>270000</v>
      </c>
      <c r="E381" s="295">
        <f>D374</f>
        <v>155000</v>
      </c>
    </row>
    <row r="382" spans="1:6" x14ac:dyDescent="0.2">
      <c r="A382" s="80" t="str">
        <f>B375</f>
        <v>E</v>
      </c>
      <c r="B382" s="287">
        <f>E375</f>
        <v>2.9333333333333331</v>
      </c>
      <c r="C382" s="290">
        <f>C375</f>
        <v>-30000</v>
      </c>
      <c r="D382" s="290">
        <f>D381+C382</f>
        <v>240000</v>
      </c>
      <c r="E382" s="295">
        <f>D375</f>
        <v>88000</v>
      </c>
    </row>
    <row r="383" spans="1:6" x14ac:dyDescent="0.2">
      <c r="A383" s="80" t="str">
        <f>B372</f>
        <v>B</v>
      </c>
      <c r="B383" s="287">
        <f>E372</f>
        <v>0.76</v>
      </c>
      <c r="C383" s="290">
        <f>C372</f>
        <v>-150000</v>
      </c>
      <c r="D383" s="290">
        <f t="shared" ref="D383:D384" si="8">D382+C383</f>
        <v>90000</v>
      </c>
      <c r="E383" s="295">
        <f>D372</f>
        <v>114000</v>
      </c>
    </row>
    <row r="384" spans="1:6" x14ac:dyDescent="0.2">
      <c r="A384" s="80" t="s">
        <v>1855</v>
      </c>
      <c r="B384" s="287">
        <f>E371</f>
        <v>0.7</v>
      </c>
      <c r="C384" s="290">
        <f>C371</f>
        <v>-50000</v>
      </c>
      <c r="D384" s="290">
        <f t="shared" si="8"/>
        <v>40000</v>
      </c>
      <c r="E384" s="295">
        <f>D371</f>
        <v>35000</v>
      </c>
    </row>
    <row r="385" spans="1:8" x14ac:dyDescent="0.2">
      <c r="A385" s="80" t="s">
        <v>1857</v>
      </c>
      <c r="B385" s="287">
        <f>E373</f>
        <v>0.56000000000000005</v>
      </c>
      <c r="C385" s="291">
        <f>-D384</f>
        <v>-40000</v>
      </c>
      <c r="D385" s="290">
        <f>D384+C385</f>
        <v>0</v>
      </c>
      <c r="E385" s="295">
        <f>D373*D384/-C373</f>
        <v>22400</v>
      </c>
      <c r="H385" s="43" t="s">
        <v>1981</v>
      </c>
    </row>
    <row r="386" spans="1:8" x14ac:dyDescent="0.2">
      <c r="A386" s="47"/>
      <c r="B386" s="228"/>
      <c r="C386" s="292"/>
      <c r="D386" s="293"/>
      <c r="E386" s="294"/>
    </row>
    <row r="387" spans="1:8" x14ac:dyDescent="0.2">
      <c r="A387" s="288"/>
      <c r="B387" s="288"/>
      <c r="C387" s="29" t="s">
        <v>1973</v>
      </c>
      <c r="D387" s="29"/>
      <c r="E387" s="296">
        <f>SUM(E381:E385)</f>
        <v>414400</v>
      </c>
    </row>
    <row r="389" spans="1:8" x14ac:dyDescent="0.2">
      <c r="A389" s="45" t="s">
        <v>2348</v>
      </c>
      <c r="B389" s="45"/>
      <c r="C389" s="45"/>
      <c r="D389" s="45"/>
      <c r="E389" s="45"/>
      <c r="F389" s="45"/>
      <c r="G389" s="45"/>
      <c r="H389" s="45" t="s">
        <v>780</v>
      </c>
    </row>
    <row r="390" spans="1:8" x14ac:dyDescent="0.2">
      <c r="A390" s="43" t="s">
        <v>1883</v>
      </c>
    </row>
    <row r="392" spans="1:8" x14ac:dyDescent="0.2">
      <c r="F392" s="47" t="s">
        <v>2370</v>
      </c>
      <c r="G392" s="47" t="s">
        <v>2370</v>
      </c>
      <c r="H392" s="47" t="s">
        <v>2374</v>
      </c>
    </row>
    <row r="393" spans="1:8" x14ac:dyDescent="0.2">
      <c r="F393" s="47" t="s">
        <v>2371</v>
      </c>
      <c r="G393" s="47" t="s">
        <v>2373</v>
      </c>
      <c r="H393" s="47" t="s">
        <v>1969</v>
      </c>
    </row>
    <row r="394" spans="1:8" x14ac:dyDescent="0.2">
      <c r="B394" s="80"/>
      <c r="C394" s="80">
        <v>0</v>
      </c>
      <c r="D394" s="80">
        <v>1</v>
      </c>
      <c r="E394" s="80">
        <v>2</v>
      </c>
      <c r="F394" s="545" t="s">
        <v>2372</v>
      </c>
      <c r="G394" s="49" t="s">
        <v>1863</v>
      </c>
      <c r="H394" s="49" t="s">
        <v>2375</v>
      </c>
    </row>
    <row r="395" spans="1:8" x14ac:dyDescent="0.2">
      <c r="B395" s="80" t="s">
        <v>1855</v>
      </c>
      <c r="C395" s="80">
        <v>-200</v>
      </c>
      <c r="D395" s="80">
        <v>100</v>
      </c>
      <c r="E395" s="80">
        <v>200</v>
      </c>
      <c r="F395" s="546">
        <f>SUM(C395:E395)</f>
        <v>100</v>
      </c>
      <c r="G395" s="547">
        <f>IRR(C395:E395)</f>
        <v>0.28077640640441492</v>
      </c>
      <c r="H395" s="546">
        <f>C395</f>
        <v>-200</v>
      </c>
    </row>
    <row r="396" spans="1:8" x14ac:dyDescent="0.2">
      <c r="B396" s="80" t="s">
        <v>1856</v>
      </c>
      <c r="C396" s="80">
        <v>-100</v>
      </c>
      <c r="D396" s="80">
        <v>80</v>
      </c>
      <c r="E396" s="80">
        <v>120</v>
      </c>
      <c r="F396" s="121">
        <f>SUM(C396:E396)</f>
        <v>100</v>
      </c>
      <c r="G396" s="548">
        <f>IRR(C396:E396)</f>
        <v>0.56619037896242497</v>
      </c>
      <c r="H396" s="121">
        <f>C396</f>
        <v>-100</v>
      </c>
    </row>
    <row r="398" spans="1:8" x14ac:dyDescent="0.2">
      <c r="A398" s="43" t="s">
        <v>1884</v>
      </c>
    </row>
    <row r="411" spans="1:1" x14ac:dyDescent="0.2">
      <c r="A411" s="79" t="s">
        <v>1982</v>
      </c>
    </row>
    <row r="413" spans="1:1" x14ac:dyDescent="0.2">
      <c r="A413" s="299" t="s">
        <v>1983</v>
      </c>
    </row>
    <row r="417" spans="1:8" x14ac:dyDescent="0.2">
      <c r="A417" s="43" t="s">
        <v>1984</v>
      </c>
    </row>
    <row r="418" spans="1:8" x14ac:dyDescent="0.2">
      <c r="B418" s="80"/>
      <c r="C418" s="80">
        <v>0</v>
      </c>
      <c r="D418" s="80">
        <v>1</v>
      </c>
      <c r="E418" s="80">
        <v>2</v>
      </c>
      <c r="F418" s="81" t="s">
        <v>1985</v>
      </c>
      <c r="G418" s="81" t="s">
        <v>1863</v>
      </c>
      <c r="H418" s="81" t="s">
        <v>1986</v>
      </c>
    </row>
    <row r="419" spans="1:8" x14ac:dyDescent="0.2">
      <c r="B419" s="298" t="s">
        <v>1855</v>
      </c>
      <c r="C419" s="80">
        <v>-200</v>
      </c>
      <c r="D419" s="80">
        <v>100</v>
      </c>
      <c r="E419" s="80">
        <v>200</v>
      </c>
      <c r="F419" s="81">
        <f>SUM(C419:E419)</f>
        <v>100</v>
      </c>
      <c r="G419" s="297">
        <f>IRR(C419:E419)</f>
        <v>0.28077640640441492</v>
      </c>
      <c r="H419" s="81">
        <f>C419</f>
        <v>-200</v>
      </c>
    </row>
    <row r="420" spans="1:8" x14ac:dyDescent="0.2">
      <c r="B420" s="286" t="s">
        <v>1856</v>
      </c>
      <c r="C420" s="80">
        <v>-100</v>
      </c>
      <c r="D420" s="80">
        <v>80</v>
      </c>
      <c r="E420" s="80">
        <v>120</v>
      </c>
      <c r="F420" s="81">
        <f>SUM(C420:E420)</f>
        <v>100</v>
      </c>
      <c r="G420" s="297">
        <f>IRR(C420:E420)</f>
        <v>0.56619037896242497</v>
      </c>
      <c r="H420" s="81">
        <f>C420</f>
        <v>-100</v>
      </c>
    </row>
    <row r="423" spans="1:8" x14ac:dyDescent="0.2">
      <c r="A423" s="43" t="s">
        <v>1985</v>
      </c>
      <c r="B423" s="43" t="s">
        <v>1987</v>
      </c>
    </row>
    <row r="424" spans="1:8" x14ac:dyDescent="0.2">
      <c r="A424" s="43" t="s">
        <v>1863</v>
      </c>
      <c r="B424" s="43" t="s">
        <v>1988</v>
      </c>
    </row>
    <row r="425" spans="1:8" x14ac:dyDescent="0.2">
      <c r="A425" s="43" t="s">
        <v>1986</v>
      </c>
      <c r="B425" s="43" t="s">
        <v>1989</v>
      </c>
    </row>
    <row r="427" spans="1:8" x14ac:dyDescent="0.2">
      <c r="A427" s="44" t="s">
        <v>2376</v>
      </c>
      <c r="B427" s="44"/>
      <c r="C427" s="44"/>
      <c r="D427" s="44"/>
      <c r="E427" s="44"/>
      <c r="F427" s="44"/>
      <c r="G427" s="44"/>
      <c r="H427" s="44"/>
    </row>
    <row r="428" spans="1:8" x14ac:dyDescent="0.2">
      <c r="A428" s="44" t="s">
        <v>1990</v>
      </c>
      <c r="B428" s="44"/>
      <c r="C428" s="44"/>
      <c r="D428" s="44"/>
      <c r="E428" s="44"/>
      <c r="F428" s="44"/>
      <c r="G428" s="44"/>
      <c r="H428" s="44"/>
    </row>
    <row r="430" spans="1:8" x14ac:dyDescent="0.2">
      <c r="A430" s="45" t="s">
        <v>3492</v>
      </c>
      <c r="B430" s="45"/>
      <c r="C430" s="45"/>
      <c r="D430" s="45"/>
      <c r="E430" s="45"/>
      <c r="F430" s="45"/>
      <c r="G430" s="45"/>
      <c r="H430" s="45"/>
    </row>
    <row r="431" spans="1:8" x14ac:dyDescent="0.2">
      <c r="A431" s="43" t="s">
        <v>3493</v>
      </c>
    </row>
    <row r="432" spans="1:8" x14ac:dyDescent="0.2">
      <c r="A432" s="43" t="s">
        <v>3494</v>
      </c>
    </row>
    <row r="433" spans="1:9" x14ac:dyDescent="0.2">
      <c r="A433" s="43" t="s">
        <v>3495</v>
      </c>
    </row>
    <row r="434" spans="1:9" x14ac:dyDescent="0.2">
      <c r="A434" s="43" t="s">
        <v>3496</v>
      </c>
    </row>
    <row r="436" spans="1:9" x14ac:dyDescent="0.2">
      <c r="A436" s="43" t="s">
        <v>3497</v>
      </c>
    </row>
    <row r="438" spans="1:9" x14ac:dyDescent="0.2">
      <c r="D438" s="49" t="s">
        <v>2351</v>
      </c>
      <c r="E438" s="49" t="s">
        <v>2352</v>
      </c>
      <c r="F438" s="49" t="s">
        <v>2353</v>
      </c>
      <c r="G438" s="49" t="s">
        <v>2354</v>
      </c>
      <c r="H438" s="49" t="s">
        <v>2355</v>
      </c>
    </row>
    <row r="439" spans="1:9" x14ac:dyDescent="0.2">
      <c r="B439" s="43" t="s">
        <v>2349</v>
      </c>
      <c r="D439" s="47">
        <v>-1000</v>
      </c>
      <c r="E439" s="47">
        <v>350</v>
      </c>
      <c r="F439" s="47">
        <f>E439</f>
        <v>350</v>
      </c>
      <c r="G439" s="47">
        <f>F439</f>
        <v>350</v>
      </c>
      <c r="H439" s="47">
        <f>G439</f>
        <v>350</v>
      </c>
    </row>
    <row r="440" spans="1:9" x14ac:dyDescent="0.2">
      <c r="B440" s="43" t="s">
        <v>2350</v>
      </c>
      <c r="D440" s="47">
        <v>-4000</v>
      </c>
      <c r="E440" s="47">
        <v>1300</v>
      </c>
      <c r="F440" s="47">
        <v>1300</v>
      </c>
      <c r="G440" s="47">
        <v>1300</v>
      </c>
      <c r="H440" s="47">
        <v>1300</v>
      </c>
    </row>
    <row r="442" spans="1:9" x14ac:dyDescent="0.2">
      <c r="A442" s="43" t="s">
        <v>321</v>
      </c>
    </row>
    <row r="443" spans="1:9" x14ac:dyDescent="0.2">
      <c r="A443" s="43" t="s">
        <v>3498</v>
      </c>
    </row>
    <row r="444" spans="1:9" x14ac:dyDescent="0.2">
      <c r="A444" s="43" t="s">
        <v>2356</v>
      </c>
    </row>
    <row r="445" spans="1:9" x14ac:dyDescent="0.2">
      <c r="I445" s="43" t="s">
        <v>1869</v>
      </c>
    </row>
    <row r="446" spans="1:9" x14ac:dyDescent="0.2">
      <c r="A446" s="43" t="s">
        <v>111</v>
      </c>
    </row>
    <row r="448" spans="1:9" x14ac:dyDescent="0.2">
      <c r="A448" s="43" t="s">
        <v>2360</v>
      </c>
    </row>
    <row r="449" spans="1:13" x14ac:dyDescent="0.2">
      <c r="F449" s="43" t="s">
        <v>3505</v>
      </c>
    </row>
    <row r="450" spans="1:13" x14ac:dyDescent="0.2">
      <c r="D450" s="543" t="s">
        <v>611</v>
      </c>
      <c r="E450" s="770" t="s">
        <v>610</v>
      </c>
      <c r="F450" s="59" t="s">
        <v>2361</v>
      </c>
    </row>
    <row r="451" spans="1:13" x14ac:dyDescent="0.2">
      <c r="C451" s="43">
        <v>0</v>
      </c>
      <c r="D451" s="769">
        <f>D439</f>
        <v>-1000</v>
      </c>
      <c r="E451" s="771">
        <f>D440</f>
        <v>-4000</v>
      </c>
      <c r="F451" s="43">
        <f>E451-D451</f>
        <v>-3000</v>
      </c>
    </row>
    <row r="452" spans="1:13" x14ac:dyDescent="0.2">
      <c r="C452" s="43">
        <v>1</v>
      </c>
      <c r="D452" s="769">
        <f>E439</f>
        <v>350</v>
      </c>
      <c r="E452" s="771">
        <f>E440</f>
        <v>1300</v>
      </c>
      <c r="F452" s="43">
        <f t="shared" ref="F452:F455" si="9">E452-D452</f>
        <v>950</v>
      </c>
      <c r="G452" s="55"/>
    </row>
    <row r="453" spans="1:13" x14ac:dyDescent="0.2">
      <c r="C453" s="43">
        <v>2</v>
      </c>
      <c r="D453" s="769">
        <f t="shared" ref="D453:E455" si="10">D452</f>
        <v>350</v>
      </c>
      <c r="E453" s="771">
        <f t="shared" si="10"/>
        <v>1300</v>
      </c>
      <c r="F453" s="43">
        <f t="shared" si="9"/>
        <v>950</v>
      </c>
    </row>
    <row r="454" spans="1:13" x14ac:dyDescent="0.2">
      <c r="C454" s="43">
        <v>3</v>
      </c>
      <c r="D454" s="769">
        <f t="shared" si="10"/>
        <v>350</v>
      </c>
      <c r="E454" s="771">
        <f t="shared" si="10"/>
        <v>1300</v>
      </c>
      <c r="F454" s="43">
        <f t="shared" si="9"/>
        <v>950</v>
      </c>
    </row>
    <row r="455" spans="1:13" x14ac:dyDescent="0.2">
      <c r="C455" s="43">
        <v>4</v>
      </c>
      <c r="D455" s="769">
        <f t="shared" si="10"/>
        <v>350</v>
      </c>
      <c r="E455" s="771">
        <f t="shared" si="10"/>
        <v>1300</v>
      </c>
      <c r="F455" s="43">
        <f t="shared" si="9"/>
        <v>950</v>
      </c>
      <c r="G455" s="541" t="s">
        <v>87</v>
      </c>
    </row>
    <row r="457" spans="1:13" x14ac:dyDescent="0.2">
      <c r="A457" s="43" t="s">
        <v>3499</v>
      </c>
      <c r="C457" s="43" t="s">
        <v>2359</v>
      </c>
      <c r="D457" s="43">
        <f>D451</f>
        <v>-1000</v>
      </c>
      <c r="E457" s="43">
        <f>E451</f>
        <v>-4000</v>
      </c>
      <c r="F457" s="43">
        <f>F451</f>
        <v>-3000</v>
      </c>
      <c r="G457" s="542" t="s">
        <v>1949</v>
      </c>
      <c r="L457" s="43" t="s">
        <v>3500</v>
      </c>
    </row>
    <row r="458" spans="1:13" x14ac:dyDescent="0.2">
      <c r="A458" s="43" t="s">
        <v>3501</v>
      </c>
      <c r="C458" s="43" t="s">
        <v>2357</v>
      </c>
      <c r="D458" s="161">
        <f>IRR(D451:D455)</f>
        <v>0.14962544030288161</v>
      </c>
      <c r="E458" s="161">
        <f>IRR(E451:E455)</f>
        <v>0.11387927806507081</v>
      </c>
      <c r="F458" s="205">
        <f>IRR(F451:F455)</f>
        <v>0.10174996002130543</v>
      </c>
    </row>
    <row r="459" spans="1:13" x14ac:dyDescent="0.2">
      <c r="A459" s="452" t="s">
        <v>3502</v>
      </c>
      <c r="C459" s="43" t="s">
        <v>2358</v>
      </c>
      <c r="D459" s="43">
        <f>SUM(D451:D455)</f>
        <v>400</v>
      </c>
      <c r="E459" s="43">
        <f>SUM(E451:E455)</f>
        <v>1200</v>
      </c>
      <c r="F459" s="43">
        <f>SUM(F451:F455)</f>
        <v>800</v>
      </c>
      <c r="G459" s="541" t="s">
        <v>1950</v>
      </c>
      <c r="L459" s="43" t="s">
        <v>3503</v>
      </c>
    </row>
    <row r="460" spans="1:13" x14ac:dyDescent="0.2">
      <c r="M460" s="43" t="s">
        <v>3504</v>
      </c>
    </row>
    <row r="461" spans="1:13" x14ac:dyDescent="0.2">
      <c r="A461" s="43" t="s">
        <v>2362</v>
      </c>
    </row>
    <row r="462" spans="1:13" x14ac:dyDescent="0.2">
      <c r="A462" s="43" t="s">
        <v>2363</v>
      </c>
    </row>
    <row r="463" spans="1:13" x14ac:dyDescent="0.2">
      <c r="A463" s="43" t="s">
        <v>2364</v>
      </c>
    </row>
    <row r="464" spans="1:13" x14ac:dyDescent="0.2">
      <c r="A464" s="43" t="s">
        <v>2365</v>
      </c>
    </row>
    <row r="465" spans="1:1" x14ac:dyDescent="0.2">
      <c r="A465" s="43" t="s">
        <v>2366</v>
      </c>
    </row>
    <row r="467" spans="1:1" x14ac:dyDescent="0.2">
      <c r="A467" s="44" t="s">
        <v>3506</v>
      </c>
    </row>
    <row r="468" spans="1:1" x14ac:dyDescent="0.2">
      <c r="A468" s="44" t="s">
        <v>3507</v>
      </c>
    </row>
    <row r="470" spans="1:1" x14ac:dyDescent="0.2">
      <c r="A470" s="43" t="s">
        <v>3508</v>
      </c>
    </row>
  </sheetData>
  <mergeCells count="2">
    <mergeCell ref="A1:H1"/>
    <mergeCell ref="L278:R278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904BA-49C8-734B-8E63-ABA3B1115EF0}">
  <dimension ref="A1:J303"/>
  <sheetViews>
    <sheetView rightToLeft="1" topLeftCell="A202" zoomScale="251" workbookViewId="0">
      <selection activeCell="I33" sqref="I33"/>
    </sheetView>
  </sheetViews>
  <sheetFormatPr baseColWidth="10" defaultColWidth="11.5" defaultRowHeight="15" x14ac:dyDescent="0.2"/>
  <cols>
    <col min="1" max="1" width="13.33203125" customWidth="1"/>
    <col min="8" max="8" width="13.1640625" customWidth="1"/>
  </cols>
  <sheetData>
    <row r="1" spans="1:8" x14ac:dyDescent="0.2">
      <c r="A1" s="300" t="s">
        <v>2367</v>
      </c>
      <c r="B1" s="46"/>
      <c r="C1" s="46"/>
      <c r="D1" s="46"/>
      <c r="E1" s="46"/>
      <c r="F1" s="46"/>
      <c r="G1" s="46"/>
      <c r="H1" s="46"/>
    </row>
    <row r="3" spans="1:8" s="92" customFormat="1" ht="16" x14ac:dyDescent="0.2">
      <c r="A3" s="92" t="s">
        <v>1029</v>
      </c>
    </row>
    <row r="4" spans="1:8" s="92" customFormat="1" ht="16" x14ac:dyDescent="0.2">
      <c r="A4" s="92" t="s">
        <v>1991</v>
      </c>
    </row>
    <row r="5" spans="1:8" s="92" customFormat="1" ht="16" x14ac:dyDescent="0.2">
      <c r="A5" s="92" t="s">
        <v>1992</v>
      </c>
    </row>
    <row r="6" spans="1:8" s="92" customFormat="1" ht="16" x14ac:dyDescent="0.2"/>
    <row r="7" spans="1:8" s="92" customFormat="1" ht="16" x14ac:dyDescent="0.2">
      <c r="B7" s="184" t="s">
        <v>564</v>
      </c>
      <c r="C7" s="184">
        <v>0</v>
      </c>
      <c r="D7" s="184">
        <v>1</v>
      </c>
      <c r="E7" s="184">
        <v>2</v>
      </c>
      <c r="F7" s="184">
        <v>3</v>
      </c>
      <c r="G7" s="184">
        <v>4</v>
      </c>
    </row>
    <row r="8" spans="1:8" s="92" customFormat="1" ht="16" x14ac:dyDescent="0.2">
      <c r="B8" s="184" t="s">
        <v>1894</v>
      </c>
      <c r="C8" s="184">
        <v>-100</v>
      </c>
      <c r="D8" s="184">
        <v>50</v>
      </c>
      <c r="E8" s="184">
        <v>70</v>
      </c>
      <c r="F8" s="184">
        <v>30</v>
      </c>
      <c r="G8" s="184">
        <v>40</v>
      </c>
    </row>
    <row r="9" spans="1:8" s="92" customFormat="1" ht="16" x14ac:dyDescent="0.2"/>
    <row r="10" spans="1:8" s="92" customFormat="1" ht="16" x14ac:dyDescent="0.2">
      <c r="A10" s="92" t="s">
        <v>1993</v>
      </c>
    </row>
    <row r="11" spans="1:8" s="92" customFormat="1" ht="16" x14ac:dyDescent="0.2">
      <c r="A11" s="92" t="s">
        <v>1994</v>
      </c>
    </row>
    <row r="12" spans="1:8" s="92" customFormat="1" ht="16" x14ac:dyDescent="0.2"/>
    <row r="13" spans="1:8" s="92" customFormat="1" ht="16" x14ac:dyDescent="0.2">
      <c r="A13" s="92" t="s">
        <v>1995</v>
      </c>
    </row>
    <row r="14" spans="1:8" s="92" customFormat="1" ht="17" thickBot="1" x14ac:dyDescent="0.25">
      <c r="A14" s="92" t="s">
        <v>1996</v>
      </c>
    </row>
    <row r="15" spans="1:8" s="92" customFormat="1" ht="16" x14ac:dyDescent="0.2">
      <c r="A15" s="92" t="s">
        <v>1997</v>
      </c>
      <c r="C15" s="755" t="s">
        <v>1998</v>
      </c>
      <c r="D15" s="741"/>
      <c r="E15" s="741"/>
      <c r="F15" s="741"/>
      <c r="G15" s="741"/>
      <c r="H15" s="756"/>
    </row>
    <row r="16" spans="1:8" s="92" customFormat="1" ht="17" thickBot="1" x14ac:dyDescent="0.25">
      <c r="A16" s="92" t="s">
        <v>1999</v>
      </c>
      <c r="C16" s="757"/>
      <c r="D16" s="758"/>
      <c r="E16" s="758"/>
      <c r="F16" s="758"/>
      <c r="G16" s="758"/>
      <c r="H16" s="759"/>
    </row>
    <row r="17" spans="1:8" s="92" customFormat="1" ht="16" x14ac:dyDescent="0.2">
      <c r="A17" s="92" t="s">
        <v>2000</v>
      </c>
    </row>
    <row r="18" spans="1:8" s="92" customFormat="1" ht="17" thickBot="1" x14ac:dyDescent="0.25"/>
    <row r="19" spans="1:8" s="92" customFormat="1" ht="16" x14ac:dyDescent="0.2">
      <c r="A19" s="95" t="s">
        <v>2001</v>
      </c>
      <c r="B19" s="96"/>
      <c r="C19" s="96"/>
      <c r="D19" s="96"/>
      <c r="E19" s="96"/>
      <c r="F19" s="96"/>
      <c r="G19" s="96"/>
      <c r="H19" s="97"/>
    </row>
    <row r="20" spans="1:8" s="92" customFormat="1" ht="16" x14ac:dyDescent="0.2">
      <c r="A20" s="98" t="s">
        <v>2002</v>
      </c>
      <c r="H20" s="99"/>
    </row>
    <row r="21" spans="1:8" s="92" customFormat="1" ht="16" x14ac:dyDescent="0.2">
      <c r="A21" s="98" t="s">
        <v>2003</v>
      </c>
      <c r="H21" s="99"/>
    </row>
    <row r="22" spans="1:8" s="92" customFormat="1" ht="17" thickBot="1" x14ac:dyDescent="0.25">
      <c r="A22" s="100" t="s">
        <v>2004</v>
      </c>
      <c r="B22" s="101"/>
      <c r="C22" s="101"/>
      <c r="D22" s="101"/>
      <c r="E22" s="101"/>
      <c r="F22" s="101"/>
      <c r="G22" s="101"/>
      <c r="H22" s="102"/>
    </row>
    <row r="23" spans="1:8" s="92" customFormat="1" ht="16" x14ac:dyDescent="0.2"/>
    <row r="24" spans="1:8" s="92" customFormat="1" ht="16" x14ac:dyDescent="0.2">
      <c r="A24" s="249" t="s">
        <v>2005</v>
      </c>
      <c r="B24" s="249"/>
      <c r="C24" s="249"/>
      <c r="D24" s="249"/>
      <c r="E24" s="249"/>
      <c r="F24" s="249"/>
      <c r="G24" s="249"/>
      <c r="H24" s="249"/>
    </row>
    <row r="25" spans="1:8" s="92" customFormat="1" ht="16" x14ac:dyDescent="0.2"/>
    <row r="26" spans="1:8" s="92" customFormat="1" ht="16" x14ac:dyDescent="0.2">
      <c r="A26" s="92" t="s">
        <v>2006</v>
      </c>
    </row>
    <row r="27" spans="1:8" s="92" customFormat="1" ht="16" x14ac:dyDescent="0.2">
      <c r="A27" s="92" t="s">
        <v>2007</v>
      </c>
    </row>
    <row r="28" spans="1:8" s="92" customFormat="1" ht="16" x14ac:dyDescent="0.2">
      <c r="A28" s="92" t="s">
        <v>2008</v>
      </c>
    </row>
    <row r="29" spans="1:8" s="92" customFormat="1" ht="16" x14ac:dyDescent="0.2">
      <c r="A29" s="92" t="s">
        <v>2009</v>
      </c>
    </row>
    <row r="30" spans="1:8" s="92" customFormat="1" ht="16" x14ac:dyDescent="0.2">
      <c r="A30" s="92" t="s">
        <v>2010</v>
      </c>
    </row>
    <row r="31" spans="1:8" s="92" customFormat="1" ht="16" x14ac:dyDescent="0.2">
      <c r="A31" s="92" t="s">
        <v>2011</v>
      </c>
    </row>
    <row r="32" spans="1:8" s="92" customFormat="1" ht="16" x14ac:dyDescent="0.2">
      <c r="A32" s="92" t="s">
        <v>2012</v>
      </c>
    </row>
    <row r="33" spans="1:7" s="92" customFormat="1" ht="16" x14ac:dyDescent="0.2">
      <c r="A33" s="92" t="s">
        <v>2013</v>
      </c>
    </row>
    <row r="34" spans="1:7" s="92" customFormat="1" ht="16" x14ac:dyDescent="0.2">
      <c r="A34" s="92" t="s">
        <v>2014</v>
      </c>
    </row>
    <row r="35" spans="1:7" s="92" customFormat="1" ht="16" x14ac:dyDescent="0.2">
      <c r="A35" s="92" t="s">
        <v>2015</v>
      </c>
    </row>
    <row r="36" spans="1:7" s="92" customFormat="1" ht="16" x14ac:dyDescent="0.2">
      <c r="A36" s="92" t="s">
        <v>2016</v>
      </c>
    </row>
    <row r="37" spans="1:7" s="92" customFormat="1" ht="16" x14ac:dyDescent="0.2">
      <c r="A37" s="92" t="s">
        <v>2017</v>
      </c>
    </row>
    <row r="38" spans="1:7" s="92" customFormat="1" ht="16" x14ac:dyDescent="0.2">
      <c r="A38" s="92" t="s">
        <v>2018</v>
      </c>
    </row>
    <row r="39" spans="1:7" s="92" customFormat="1" ht="16" x14ac:dyDescent="0.2">
      <c r="A39" s="92" t="s">
        <v>2019</v>
      </c>
    </row>
    <row r="40" spans="1:7" s="92" customFormat="1" ht="16" x14ac:dyDescent="0.2">
      <c r="A40" s="92" t="s">
        <v>2020</v>
      </c>
    </row>
    <row r="41" spans="1:7" s="92" customFormat="1" ht="16" x14ac:dyDescent="0.2"/>
    <row r="42" spans="1:7" s="92" customFormat="1" ht="16" x14ac:dyDescent="0.2">
      <c r="A42" s="93" t="s">
        <v>2021</v>
      </c>
      <c r="B42" s="93"/>
      <c r="C42" s="93"/>
      <c r="D42" s="93"/>
      <c r="E42" s="93"/>
    </row>
    <row r="43" spans="1:7" s="92" customFormat="1" ht="16" x14ac:dyDescent="0.2">
      <c r="A43" s="93" t="s">
        <v>2022</v>
      </c>
    </row>
    <row r="44" spans="1:7" s="92" customFormat="1" ht="16" x14ac:dyDescent="0.2">
      <c r="A44" s="93" t="s">
        <v>2023</v>
      </c>
    </row>
    <row r="45" spans="1:7" s="92" customFormat="1" ht="16" x14ac:dyDescent="0.2"/>
    <row r="46" spans="1:7" s="92" customFormat="1" ht="16" x14ac:dyDescent="0.2">
      <c r="A46" s="250" t="s">
        <v>2024</v>
      </c>
      <c r="B46" s="250"/>
      <c r="C46" s="250"/>
      <c r="D46" s="250"/>
      <c r="E46" s="250"/>
      <c r="F46" s="250"/>
      <c r="G46" s="250"/>
    </row>
    <row r="47" spans="1:7" s="92" customFormat="1" ht="16" x14ac:dyDescent="0.2"/>
    <row r="48" spans="1:7" s="92" customFormat="1" ht="16" x14ac:dyDescent="0.2">
      <c r="A48" s="93" t="s">
        <v>2025</v>
      </c>
    </row>
    <row r="49" spans="1:7" s="92" customFormat="1" ht="16" x14ac:dyDescent="0.2"/>
    <row r="50" spans="1:7" s="92" customFormat="1" ht="16" x14ac:dyDescent="0.2">
      <c r="A50" s="92" t="s">
        <v>2026</v>
      </c>
      <c r="C50" s="251">
        <v>240000</v>
      </c>
      <c r="D50" s="92" t="s">
        <v>2027</v>
      </c>
    </row>
    <row r="51" spans="1:7" s="92" customFormat="1" ht="16" x14ac:dyDescent="0.2">
      <c r="A51" s="92" t="s">
        <v>2028</v>
      </c>
      <c r="C51" s="301">
        <f>-10000-22000</f>
        <v>-32000</v>
      </c>
      <c r="F51" s="92" t="s">
        <v>2029</v>
      </c>
      <c r="G51" s="92" t="s">
        <v>2030</v>
      </c>
    </row>
    <row r="52" spans="1:7" s="92" customFormat="1" ht="16" x14ac:dyDescent="0.2">
      <c r="A52" s="92" t="s">
        <v>2031</v>
      </c>
      <c r="C52" s="302">
        <v>-200000</v>
      </c>
      <c r="F52" s="92" t="s">
        <v>2032</v>
      </c>
      <c r="G52" s="92" t="s">
        <v>2033</v>
      </c>
    </row>
    <row r="53" spans="1:7" s="92" customFormat="1" ht="16" x14ac:dyDescent="0.2">
      <c r="A53" s="93" t="s">
        <v>2034</v>
      </c>
      <c r="B53" s="93"/>
      <c r="C53" s="303">
        <f>C50+C51+C52</f>
        <v>8000</v>
      </c>
      <c r="F53" s="92" t="s">
        <v>2035</v>
      </c>
    </row>
    <row r="54" spans="1:7" s="92" customFormat="1" ht="17" thickBot="1" x14ac:dyDescent="0.25">
      <c r="A54" s="92" t="s">
        <v>2036</v>
      </c>
      <c r="C54" s="132">
        <v>0.3</v>
      </c>
      <c r="E54" s="92" t="s">
        <v>2037</v>
      </c>
    </row>
    <row r="55" spans="1:7" s="92" customFormat="1" ht="17" thickBot="1" x14ac:dyDescent="0.25">
      <c r="A55" s="92" t="s">
        <v>2038</v>
      </c>
      <c r="C55" s="253">
        <f>C53*C54</f>
        <v>2400</v>
      </c>
      <c r="F55" s="92" t="s">
        <v>2039</v>
      </c>
    </row>
    <row r="56" spans="1:7" s="92" customFormat="1" ht="16" x14ac:dyDescent="0.2"/>
    <row r="57" spans="1:7" s="92" customFormat="1" ht="16" x14ac:dyDescent="0.2">
      <c r="A57" s="93" t="s">
        <v>2040</v>
      </c>
    </row>
    <row r="58" spans="1:7" s="92" customFormat="1" ht="16" x14ac:dyDescent="0.2"/>
    <row r="59" spans="1:7" s="92" customFormat="1" ht="16" x14ac:dyDescent="0.2">
      <c r="B59" s="110">
        <v>0</v>
      </c>
      <c r="C59" s="110">
        <v>1</v>
      </c>
      <c r="D59" s="110">
        <v>2</v>
      </c>
      <c r="E59" s="110">
        <v>3</v>
      </c>
      <c r="F59" s="110">
        <v>4</v>
      </c>
      <c r="G59" s="110">
        <v>5</v>
      </c>
    </row>
    <row r="60" spans="1:7" s="92" customFormat="1" ht="16" x14ac:dyDescent="0.2">
      <c r="A60" s="92" t="s">
        <v>2041</v>
      </c>
      <c r="B60" s="302">
        <f>-1000000</f>
        <v>-1000000</v>
      </c>
      <c r="C60" s="302"/>
      <c r="D60" s="302"/>
      <c r="E60" s="302"/>
      <c r="F60" s="302"/>
      <c r="G60" s="302"/>
    </row>
    <row r="61" spans="1:7" s="304" customFormat="1" ht="16" x14ac:dyDescent="0.2">
      <c r="A61" s="304" t="s">
        <v>2042</v>
      </c>
      <c r="B61" s="305"/>
      <c r="C61" s="306">
        <f>C50</f>
        <v>240000</v>
      </c>
      <c r="D61" s="306">
        <f t="shared" ref="D61:G63" si="0">C61</f>
        <v>240000</v>
      </c>
      <c r="E61" s="306">
        <f t="shared" si="0"/>
        <v>240000</v>
      </c>
      <c r="F61" s="306">
        <f t="shared" si="0"/>
        <v>240000</v>
      </c>
      <c r="G61" s="306">
        <f t="shared" si="0"/>
        <v>240000</v>
      </c>
    </row>
    <row r="62" spans="1:7" s="304" customFormat="1" ht="16" x14ac:dyDescent="0.2">
      <c r="A62" s="304" t="s">
        <v>2043</v>
      </c>
      <c r="B62" s="305"/>
      <c r="C62" s="306">
        <f>C51</f>
        <v>-32000</v>
      </c>
      <c r="D62" s="306">
        <f t="shared" si="0"/>
        <v>-32000</v>
      </c>
      <c r="E62" s="306">
        <f t="shared" si="0"/>
        <v>-32000</v>
      </c>
      <c r="F62" s="306">
        <f t="shared" si="0"/>
        <v>-32000</v>
      </c>
      <c r="G62" s="306">
        <f t="shared" si="0"/>
        <v>-32000</v>
      </c>
    </row>
    <row r="63" spans="1:7" s="304" customFormat="1" ht="16" x14ac:dyDescent="0.2">
      <c r="A63" s="304" t="s">
        <v>2044</v>
      </c>
      <c r="B63" s="305"/>
      <c r="C63" s="307">
        <f>-C55</f>
        <v>-2400</v>
      </c>
      <c r="D63" s="307">
        <f t="shared" si="0"/>
        <v>-2400</v>
      </c>
      <c r="E63" s="307">
        <f t="shared" si="0"/>
        <v>-2400</v>
      </c>
      <c r="F63" s="307">
        <f t="shared" si="0"/>
        <v>-2400</v>
      </c>
      <c r="G63" s="307">
        <f t="shared" si="0"/>
        <v>-2400</v>
      </c>
    </row>
    <row r="64" spans="1:7" s="304" customFormat="1" ht="16" x14ac:dyDescent="0.2">
      <c r="A64" s="304" t="s">
        <v>2045</v>
      </c>
      <c r="B64" s="305">
        <v>-35000</v>
      </c>
      <c r="C64" s="305"/>
      <c r="D64" s="305"/>
      <c r="E64" s="305"/>
      <c r="F64" s="305"/>
      <c r="G64" s="305">
        <f>-B64</f>
        <v>35000</v>
      </c>
    </row>
    <row r="65" spans="1:7" s="304" customFormat="1" ht="16" x14ac:dyDescent="0.2">
      <c r="A65" s="304" t="s">
        <v>2046</v>
      </c>
      <c r="B65" s="305"/>
      <c r="C65" s="305"/>
      <c r="D65" s="305"/>
      <c r="E65" s="305"/>
      <c r="F65" s="305"/>
      <c r="G65" s="305">
        <v>44000</v>
      </c>
    </row>
    <row r="66" spans="1:7" s="304" customFormat="1" ht="17" thickBot="1" x14ac:dyDescent="0.25">
      <c r="A66" s="304" t="s">
        <v>2047</v>
      </c>
      <c r="B66" s="305"/>
      <c r="C66" s="305"/>
      <c r="D66" s="305"/>
      <c r="E66" s="305"/>
      <c r="F66" s="305"/>
      <c r="G66" s="308">
        <f>-20%*44000</f>
        <v>-8800</v>
      </c>
    </row>
    <row r="67" spans="1:7" s="92" customFormat="1" ht="17" thickBot="1" x14ac:dyDescent="0.25">
      <c r="A67" s="92" t="s">
        <v>2048</v>
      </c>
      <c r="B67" s="310">
        <f t="shared" ref="B67:G67" si="1">SUM(B60:B66)</f>
        <v>-1035000</v>
      </c>
      <c r="C67" s="310">
        <f t="shared" si="1"/>
        <v>205600</v>
      </c>
      <c r="D67" s="310">
        <f t="shared" si="1"/>
        <v>205600</v>
      </c>
      <c r="E67" s="310">
        <f t="shared" si="1"/>
        <v>205600</v>
      </c>
      <c r="F67" s="310">
        <f t="shared" si="1"/>
        <v>205600</v>
      </c>
      <c r="G67" s="311">
        <f t="shared" si="1"/>
        <v>275800</v>
      </c>
    </row>
    <row r="68" spans="1:7" s="92" customFormat="1" ht="16" x14ac:dyDescent="0.2"/>
    <row r="69" spans="1:7" s="92" customFormat="1" ht="16" x14ac:dyDescent="0.2">
      <c r="A69" s="309" t="s">
        <v>2049</v>
      </c>
      <c r="B69" s="309"/>
      <c r="C69" s="309"/>
      <c r="D69" s="309"/>
      <c r="E69" s="309"/>
      <c r="F69" s="309"/>
      <c r="G69" s="309"/>
    </row>
    <row r="70" spans="1:7" s="92" customFormat="1" ht="16" x14ac:dyDescent="0.2">
      <c r="A70" s="309" t="s">
        <v>2050</v>
      </c>
      <c r="B70" s="309"/>
      <c r="C70" s="309"/>
      <c r="D70" s="309"/>
      <c r="E70" s="309"/>
      <c r="F70" s="309" t="s">
        <v>2051</v>
      </c>
      <c r="G70" s="309"/>
    </row>
    <row r="71" spans="1:7" s="92" customFormat="1" ht="16" x14ac:dyDescent="0.2"/>
    <row r="72" spans="1:7" s="92" customFormat="1" ht="16" x14ac:dyDescent="0.2">
      <c r="A72" s="93" t="s">
        <v>2052</v>
      </c>
    </row>
    <row r="73" spans="1:7" s="92" customFormat="1" ht="16" x14ac:dyDescent="0.2"/>
    <row r="74" spans="1:7" s="92" customFormat="1" ht="16" x14ac:dyDescent="0.2">
      <c r="G74" s="172"/>
    </row>
    <row r="75" spans="1:7" s="92" customFormat="1" ht="17" thickBot="1" x14ac:dyDescent="0.25">
      <c r="F75" s="105"/>
      <c r="G75" s="105"/>
    </row>
    <row r="76" spans="1:7" s="92" customFormat="1" ht="19" thickBot="1" x14ac:dyDescent="0.25">
      <c r="A76" s="312">
        <f>NPV(8%,D78:D82)+D77</f>
        <v>-166321.87594497646</v>
      </c>
      <c r="B76" s="92" t="s">
        <v>2053</v>
      </c>
      <c r="D76" s="110" t="s">
        <v>828</v>
      </c>
      <c r="E76" s="110" t="s">
        <v>564</v>
      </c>
    </row>
    <row r="77" spans="1:7" s="92" customFormat="1" ht="16" x14ac:dyDescent="0.2">
      <c r="D77" s="105">
        <f>B67</f>
        <v>-1035000</v>
      </c>
      <c r="E77" s="105">
        <v>0</v>
      </c>
    </row>
    <row r="78" spans="1:7" s="92" customFormat="1" ht="16" x14ac:dyDescent="0.2">
      <c r="A78" s="107" t="s">
        <v>2054</v>
      </c>
      <c r="B78" s="107"/>
      <c r="C78" s="107"/>
      <c r="D78" s="105">
        <f>C67</f>
        <v>205600</v>
      </c>
      <c r="E78" s="105">
        <f>E77+1</f>
        <v>1</v>
      </c>
    </row>
    <row r="79" spans="1:7" s="92" customFormat="1" ht="16" x14ac:dyDescent="0.2">
      <c r="A79" s="107" t="s">
        <v>2055</v>
      </c>
      <c r="B79" s="107"/>
      <c r="C79" s="107"/>
      <c r="D79" s="105">
        <f>D78</f>
        <v>205600</v>
      </c>
      <c r="E79" s="105">
        <f t="shared" ref="E79:E82" si="2">E78+1</f>
        <v>2</v>
      </c>
    </row>
    <row r="80" spans="1:7" s="92" customFormat="1" ht="16" x14ac:dyDescent="0.2">
      <c r="D80" s="105">
        <f>D79</f>
        <v>205600</v>
      </c>
      <c r="E80" s="105">
        <f t="shared" si="2"/>
        <v>3</v>
      </c>
    </row>
    <row r="81" spans="1:7" s="92" customFormat="1" ht="16" x14ac:dyDescent="0.2">
      <c r="D81" s="105">
        <f>D80</f>
        <v>205600</v>
      </c>
      <c r="E81" s="105">
        <f t="shared" si="2"/>
        <v>4</v>
      </c>
    </row>
    <row r="82" spans="1:7" s="92" customFormat="1" ht="16" x14ac:dyDescent="0.2">
      <c r="D82" s="105">
        <f>G67</f>
        <v>275800</v>
      </c>
      <c r="E82" s="105">
        <f t="shared" si="2"/>
        <v>5</v>
      </c>
    </row>
    <row r="83" spans="1:7" s="92" customFormat="1" ht="16" x14ac:dyDescent="0.2"/>
    <row r="84" spans="1:7" s="92" customFormat="1" ht="16" x14ac:dyDescent="0.2">
      <c r="A84" s="250" t="s">
        <v>2056</v>
      </c>
      <c r="B84" s="250"/>
      <c r="C84" s="250"/>
      <c r="D84" s="250"/>
      <c r="E84" s="250"/>
      <c r="F84" s="250"/>
      <c r="G84" s="250"/>
    </row>
    <row r="85" spans="1:7" s="92" customFormat="1" ht="16" x14ac:dyDescent="0.2"/>
    <row r="86" spans="1:7" s="92" customFormat="1" ht="16" x14ac:dyDescent="0.2">
      <c r="A86" s="92" t="s">
        <v>2057</v>
      </c>
    </row>
    <row r="87" spans="1:7" s="92" customFormat="1" ht="16" x14ac:dyDescent="0.2"/>
    <row r="88" spans="1:7" s="92" customFormat="1" ht="16" x14ac:dyDescent="0.2">
      <c r="B88" s="110">
        <v>5</v>
      </c>
      <c r="D88" s="110">
        <v>5</v>
      </c>
    </row>
    <row r="89" spans="1:7" s="92" customFormat="1" ht="16" x14ac:dyDescent="0.2">
      <c r="B89" s="92" t="s">
        <v>2058</v>
      </c>
      <c r="D89" s="92" t="s">
        <v>2059</v>
      </c>
    </row>
    <row r="90" spans="1:7" s="92" customFormat="1" ht="16" x14ac:dyDescent="0.2">
      <c r="B90" s="254">
        <v>240000</v>
      </c>
      <c r="D90" s="254">
        <v>240000</v>
      </c>
    </row>
    <row r="91" spans="1:7" s="92" customFormat="1" ht="16" x14ac:dyDescent="0.2">
      <c r="B91" s="252">
        <v>-32000</v>
      </c>
      <c r="D91" s="252">
        <v>-32000</v>
      </c>
    </row>
    <row r="92" spans="1:7" s="92" customFormat="1" ht="16" x14ac:dyDescent="0.2">
      <c r="B92" s="133">
        <v>-2400</v>
      </c>
      <c r="D92" s="133">
        <v>-2400</v>
      </c>
    </row>
    <row r="93" spans="1:7" s="92" customFormat="1" ht="16" x14ac:dyDescent="0.2">
      <c r="B93" s="92">
        <v>35000</v>
      </c>
      <c r="D93" s="92">
        <v>35000</v>
      </c>
    </row>
    <row r="94" spans="1:7" s="92" customFormat="1" ht="16" x14ac:dyDescent="0.2">
      <c r="B94" s="92">
        <v>44000</v>
      </c>
      <c r="D94" s="92">
        <v>44000</v>
      </c>
    </row>
    <row r="95" spans="1:7" s="92" customFormat="1" ht="17" thickBot="1" x14ac:dyDescent="0.25">
      <c r="A95" s="92" t="s">
        <v>2060</v>
      </c>
      <c r="B95" s="92">
        <v>-8800</v>
      </c>
      <c r="D95" s="92">
        <v>0</v>
      </c>
    </row>
    <row r="96" spans="1:7" s="92" customFormat="1" ht="17" thickBot="1" x14ac:dyDescent="0.25">
      <c r="B96" s="255">
        <v>275800</v>
      </c>
      <c r="D96" s="257">
        <f>SUM(D90:D95)</f>
        <v>284600</v>
      </c>
    </row>
    <row r="97" spans="1:8" s="92" customFormat="1" ht="16" x14ac:dyDescent="0.2">
      <c r="G97" s="172"/>
    </row>
    <row r="98" spans="1:8" s="92" customFormat="1" ht="17" thickBot="1" x14ac:dyDescent="0.25">
      <c r="F98" s="105"/>
      <c r="G98" s="105"/>
    </row>
    <row r="99" spans="1:8" s="92" customFormat="1" ht="19" thickBot="1" x14ac:dyDescent="0.25">
      <c r="A99" s="256">
        <f>NPV(8%,D101:D105)+D100</f>
        <v>-160332.7438110793</v>
      </c>
      <c r="B99" s="92" t="s">
        <v>2053</v>
      </c>
      <c r="D99" s="110" t="s">
        <v>2061</v>
      </c>
      <c r="E99" s="110" t="s">
        <v>564</v>
      </c>
    </row>
    <row r="100" spans="1:8" s="92" customFormat="1" ht="16" x14ac:dyDescent="0.2">
      <c r="D100" s="105">
        <f>D77</f>
        <v>-1035000</v>
      </c>
      <c r="E100" s="105">
        <v>0</v>
      </c>
    </row>
    <row r="101" spans="1:8" s="92" customFormat="1" ht="16" x14ac:dyDescent="0.2">
      <c r="A101" s="92" t="s">
        <v>2062</v>
      </c>
      <c r="D101" s="105">
        <f>D78</f>
        <v>205600</v>
      </c>
      <c r="E101" s="105">
        <f>E100+1</f>
        <v>1</v>
      </c>
    </row>
    <row r="102" spans="1:8" s="92" customFormat="1" ht="16" x14ac:dyDescent="0.2">
      <c r="D102" s="105">
        <f>D79</f>
        <v>205600</v>
      </c>
      <c r="E102" s="105">
        <f t="shared" ref="E102:E105" si="3">E101+1</f>
        <v>2</v>
      </c>
    </row>
    <row r="103" spans="1:8" s="92" customFormat="1" ht="16" x14ac:dyDescent="0.2">
      <c r="D103" s="105">
        <f>D80</f>
        <v>205600</v>
      </c>
      <c r="E103" s="105">
        <f t="shared" si="3"/>
        <v>3</v>
      </c>
    </row>
    <row r="104" spans="1:8" s="92" customFormat="1" ht="16" x14ac:dyDescent="0.2">
      <c r="D104" s="105">
        <f>D81</f>
        <v>205600</v>
      </c>
      <c r="E104" s="105">
        <f t="shared" si="3"/>
        <v>4</v>
      </c>
    </row>
    <row r="105" spans="1:8" s="92" customFormat="1" ht="16" x14ac:dyDescent="0.2">
      <c r="A105" s="313" t="s">
        <v>2063</v>
      </c>
      <c r="D105" s="258">
        <f>D82+8800</f>
        <v>284600</v>
      </c>
      <c r="E105" s="105">
        <f t="shared" si="3"/>
        <v>5</v>
      </c>
    </row>
    <row r="106" spans="1:8" s="92" customFormat="1" ht="16" x14ac:dyDescent="0.2"/>
    <row r="107" spans="1:8" s="92" customFormat="1" ht="16" x14ac:dyDescent="0.2">
      <c r="A107" s="249" t="s">
        <v>2064</v>
      </c>
      <c r="B107" s="249"/>
      <c r="C107" s="249"/>
      <c r="D107" s="249"/>
      <c r="E107" s="249"/>
      <c r="F107" s="249"/>
      <c r="G107" s="249"/>
      <c r="H107" s="249"/>
    </row>
    <row r="108" spans="1:8" s="92" customFormat="1" ht="16" x14ac:dyDescent="0.2">
      <c r="A108" s="92" t="s">
        <v>2065</v>
      </c>
    </row>
    <row r="109" spans="1:8" s="92" customFormat="1" ht="16" x14ac:dyDescent="0.2">
      <c r="A109" s="92" t="s">
        <v>2066</v>
      </c>
    </row>
    <row r="110" spans="1:8" s="92" customFormat="1" ht="16" x14ac:dyDescent="0.2">
      <c r="A110" s="92" t="s">
        <v>2067</v>
      </c>
    </row>
    <row r="111" spans="1:8" s="92" customFormat="1" ht="16" x14ac:dyDescent="0.2">
      <c r="A111" s="92" t="s">
        <v>2068</v>
      </c>
    </row>
    <row r="112" spans="1:8" s="92" customFormat="1" ht="16" x14ac:dyDescent="0.2">
      <c r="A112" s="92" t="s">
        <v>2069</v>
      </c>
    </row>
    <row r="113" spans="1:10" s="92" customFormat="1" ht="16" x14ac:dyDescent="0.2">
      <c r="A113" s="92" t="s">
        <v>2070</v>
      </c>
    </row>
    <row r="114" spans="1:10" s="92" customFormat="1" ht="16" x14ac:dyDescent="0.2">
      <c r="A114" s="92" t="s">
        <v>2071</v>
      </c>
    </row>
    <row r="115" spans="1:10" s="92" customFormat="1" ht="16" x14ac:dyDescent="0.2"/>
    <row r="116" spans="1:10" s="92" customFormat="1" ht="16" x14ac:dyDescent="0.2">
      <c r="A116" s="92" t="s">
        <v>2072</v>
      </c>
    </row>
    <row r="117" spans="1:10" s="92" customFormat="1" ht="16" x14ac:dyDescent="0.2">
      <c r="A117" s="92" t="s">
        <v>2073</v>
      </c>
    </row>
    <row r="118" spans="1:10" s="92" customFormat="1" ht="16" x14ac:dyDescent="0.2"/>
    <row r="119" spans="1:10" s="92" customFormat="1" ht="16" x14ac:dyDescent="0.2">
      <c r="A119" s="93" t="s">
        <v>2074</v>
      </c>
    </row>
    <row r="120" spans="1:10" s="92" customFormat="1" ht="16" x14ac:dyDescent="0.2"/>
    <row r="121" spans="1:10" s="92" customFormat="1" ht="16" x14ac:dyDescent="0.2">
      <c r="F121" s="259" t="s">
        <v>2075</v>
      </c>
      <c r="G121" s="259" t="s">
        <v>2076</v>
      </c>
    </row>
    <row r="122" spans="1:10" s="92" customFormat="1" ht="16" x14ac:dyDescent="0.2">
      <c r="A122" s="93" t="s">
        <v>2077</v>
      </c>
      <c r="C122" s="92" t="s">
        <v>2078</v>
      </c>
      <c r="F122" s="105" t="s">
        <v>2079</v>
      </c>
      <c r="G122" s="260">
        <v>320000</v>
      </c>
    </row>
    <row r="123" spans="1:10" s="92" customFormat="1" ht="16" x14ac:dyDescent="0.2">
      <c r="A123" s="93" t="s">
        <v>2080</v>
      </c>
      <c r="C123" s="92" t="s">
        <v>2081</v>
      </c>
      <c r="F123" s="105" t="s">
        <v>2082</v>
      </c>
      <c r="G123" s="261">
        <f>-(75000+60000)</f>
        <v>-135000</v>
      </c>
      <c r="J123" s="92" t="s">
        <v>2083</v>
      </c>
    </row>
    <row r="124" spans="1:10" s="92" customFormat="1" ht="16" x14ac:dyDescent="0.2">
      <c r="A124" s="93" t="s">
        <v>2084</v>
      </c>
      <c r="C124" s="92" t="s">
        <v>2085</v>
      </c>
      <c r="F124" s="105" t="s">
        <v>2082</v>
      </c>
      <c r="G124" s="262">
        <f>-50000</f>
        <v>-50000</v>
      </c>
      <c r="J124" s="92" t="s">
        <v>2086</v>
      </c>
    </row>
    <row r="125" spans="1:10" s="92" customFormat="1" ht="16" x14ac:dyDescent="0.2">
      <c r="A125" s="93" t="s">
        <v>2087</v>
      </c>
      <c r="C125" s="92" t="s">
        <v>2088</v>
      </c>
      <c r="F125" s="105" t="s">
        <v>1211</v>
      </c>
      <c r="G125" s="262">
        <f>SUM(G122:G124)</f>
        <v>135000</v>
      </c>
    </row>
    <row r="126" spans="1:10" s="92" customFormat="1" ht="16" x14ac:dyDescent="0.2">
      <c r="A126" s="93" t="s">
        <v>2089</v>
      </c>
      <c r="C126" s="92" t="s">
        <v>2036</v>
      </c>
      <c r="F126" s="105" t="s">
        <v>2090</v>
      </c>
      <c r="G126" s="263">
        <v>0.3</v>
      </c>
    </row>
    <row r="127" spans="1:10" s="92" customFormat="1" ht="17" thickBot="1" x14ac:dyDescent="0.25">
      <c r="C127" s="92" t="s">
        <v>2091</v>
      </c>
      <c r="F127" s="264" t="s">
        <v>2082</v>
      </c>
      <c r="G127" s="265">
        <f>G125*-G126</f>
        <v>-40500</v>
      </c>
    </row>
    <row r="128" spans="1:10" s="92" customFormat="1" ht="16" x14ac:dyDescent="0.2"/>
    <row r="129" spans="1:9" s="92" customFormat="1" ht="16" x14ac:dyDescent="0.2">
      <c r="A129" s="93" t="s">
        <v>775</v>
      </c>
      <c r="C129" s="184"/>
      <c r="D129" s="184">
        <v>0</v>
      </c>
      <c r="E129" s="184">
        <v>1</v>
      </c>
      <c r="F129" s="184">
        <v>2</v>
      </c>
      <c r="G129" s="184">
        <v>3</v>
      </c>
      <c r="H129" s="184">
        <v>4</v>
      </c>
      <c r="I129" s="184">
        <v>5</v>
      </c>
    </row>
    <row r="130" spans="1:9" s="92" customFormat="1" ht="16" x14ac:dyDescent="0.2">
      <c r="A130" s="93" t="s">
        <v>2092</v>
      </c>
      <c r="C130" s="314" t="s">
        <v>2041</v>
      </c>
      <c r="D130" s="266">
        <v>-250000</v>
      </c>
      <c r="E130" s="267"/>
      <c r="F130" s="267"/>
      <c r="G130" s="267"/>
      <c r="H130" s="267"/>
      <c r="I130" s="267"/>
    </row>
    <row r="131" spans="1:9" s="92" customFormat="1" ht="16" x14ac:dyDescent="0.2">
      <c r="A131" s="93" t="s">
        <v>2093</v>
      </c>
      <c r="C131" s="314" t="s">
        <v>2026</v>
      </c>
      <c r="D131" s="267"/>
      <c r="E131" s="268">
        <f>G122</f>
        <v>320000</v>
      </c>
      <c r="F131" s="268">
        <f t="shared" ref="F131:I132" si="4">E131</f>
        <v>320000</v>
      </c>
      <c r="G131" s="268">
        <f t="shared" si="4"/>
        <v>320000</v>
      </c>
      <c r="H131" s="268">
        <f t="shared" si="4"/>
        <v>320000</v>
      </c>
      <c r="I131" s="268">
        <f t="shared" si="4"/>
        <v>320000</v>
      </c>
    </row>
    <row r="132" spans="1:9" s="92" customFormat="1" ht="16" x14ac:dyDescent="0.2">
      <c r="A132" s="93" t="s">
        <v>2094</v>
      </c>
      <c r="C132" s="314" t="s">
        <v>2095</v>
      </c>
      <c r="D132" s="267"/>
      <c r="E132" s="269">
        <f>G123</f>
        <v>-135000</v>
      </c>
      <c r="F132" s="269">
        <f t="shared" si="4"/>
        <v>-135000</v>
      </c>
      <c r="G132" s="269">
        <f t="shared" si="4"/>
        <v>-135000</v>
      </c>
      <c r="H132" s="269">
        <f t="shared" si="4"/>
        <v>-135000</v>
      </c>
      <c r="I132" s="269">
        <f t="shared" si="4"/>
        <v>-135000</v>
      </c>
    </row>
    <row r="133" spans="1:9" s="92" customFormat="1" ht="16" x14ac:dyDescent="0.2">
      <c r="A133" s="93" t="s">
        <v>2096</v>
      </c>
      <c r="C133" s="315" t="s">
        <v>2091</v>
      </c>
      <c r="D133" s="267"/>
      <c r="E133" s="271">
        <f>G127</f>
        <v>-40500</v>
      </c>
      <c r="F133" s="271">
        <f>G127</f>
        <v>-40500</v>
      </c>
      <c r="G133" s="271">
        <f>G127</f>
        <v>-40500</v>
      </c>
      <c r="H133" s="271">
        <f>G133</f>
        <v>-40500</v>
      </c>
      <c r="I133" s="271">
        <f>H133</f>
        <v>-40500</v>
      </c>
    </row>
    <row r="134" spans="1:9" s="92" customFormat="1" ht="16" x14ac:dyDescent="0.2">
      <c r="A134" s="93" t="s">
        <v>2097</v>
      </c>
      <c r="C134" s="314" t="s">
        <v>2045</v>
      </c>
      <c r="D134" s="266">
        <f>-40000</f>
        <v>-40000</v>
      </c>
      <c r="E134" s="267"/>
      <c r="F134" s="267"/>
      <c r="G134" s="267"/>
      <c r="H134" s="267"/>
      <c r="I134" s="266">
        <f>-D134</f>
        <v>40000</v>
      </c>
    </row>
    <row r="135" spans="1:9" s="92" customFormat="1" ht="16" x14ac:dyDescent="0.2">
      <c r="C135" s="314" t="s">
        <v>2046</v>
      </c>
      <c r="D135" s="267"/>
      <c r="E135" s="267"/>
      <c r="F135" s="267"/>
      <c r="G135" s="267"/>
      <c r="H135" s="267"/>
      <c r="I135" s="266">
        <v>70000</v>
      </c>
    </row>
    <row r="136" spans="1:9" s="92" customFormat="1" ht="16" x14ac:dyDescent="0.2">
      <c r="C136" s="314" t="s">
        <v>2047</v>
      </c>
      <c r="D136" s="267"/>
      <c r="E136" s="267"/>
      <c r="F136" s="267"/>
      <c r="G136" s="267"/>
      <c r="H136" s="267"/>
      <c r="I136" s="266">
        <f>-15%*70000</f>
        <v>-10500</v>
      </c>
    </row>
    <row r="137" spans="1:9" s="92" customFormat="1" ht="22" thickBot="1" x14ac:dyDescent="0.3">
      <c r="C137" s="272" t="s">
        <v>2098</v>
      </c>
      <c r="D137" s="273">
        <f t="shared" ref="D137:I137" si="5">SUM(D130:D136)</f>
        <v>-290000</v>
      </c>
      <c r="E137" s="273">
        <f t="shared" si="5"/>
        <v>144500</v>
      </c>
      <c r="F137" s="273">
        <f t="shared" si="5"/>
        <v>144500</v>
      </c>
      <c r="G137" s="273">
        <f t="shared" si="5"/>
        <v>144500</v>
      </c>
      <c r="H137" s="273">
        <f t="shared" si="5"/>
        <v>144500</v>
      </c>
      <c r="I137" s="273">
        <f t="shared" si="5"/>
        <v>244000</v>
      </c>
    </row>
    <row r="138" spans="1:9" s="92" customFormat="1" ht="16" x14ac:dyDescent="0.2"/>
    <row r="139" spans="1:9" s="92" customFormat="1" ht="16" x14ac:dyDescent="0.2">
      <c r="A139" s="93" t="s">
        <v>2099</v>
      </c>
      <c r="C139" s="92" t="s">
        <v>2100</v>
      </c>
    </row>
    <row r="140" spans="1:9" s="92" customFormat="1" ht="16" x14ac:dyDescent="0.2"/>
    <row r="141" spans="1:9" s="92" customFormat="1" ht="16" x14ac:dyDescent="0.2"/>
    <row r="142" spans="1:9" s="92" customFormat="1" ht="16" x14ac:dyDescent="0.2">
      <c r="D142" s="92" t="s">
        <v>2101</v>
      </c>
      <c r="F142" s="132">
        <v>0.1</v>
      </c>
    </row>
    <row r="143" spans="1:9" s="92" customFormat="1" ht="16" x14ac:dyDescent="0.2"/>
    <row r="144" spans="1:9" s="92" customFormat="1" ht="16" x14ac:dyDescent="0.2">
      <c r="F144" s="110" t="s">
        <v>828</v>
      </c>
      <c r="G144" s="111" t="s">
        <v>564</v>
      </c>
    </row>
    <row r="145" spans="1:9" s="92" customFormat="1" ht="16" x14ac:dyDescent="0.2">
      <c r="F145" s="262">
        <f>D137</f>
        <v>-290000</v>
      </c>
      <c r="G145" s="92">
        <v>0</v>
      </c>
    </row>
    <row r="146" spans="1:9" s="92" customFormat="1" ht="16" x14ac:dyDescent="0.2">
      <c r="F146" s="262">
        <f>E137</f>
        <v>144500</v>
      </c>
      <c r="G146" s="92">
        <f>G145+1</f>
        <v>1</v>
      </c>
    </row>
    <row r="147" spans="1:9" s="92" customFormat="1" ht="16" x14ac:dyDescent="0.2">
      <c r="F147" s="262">
        <f>F137</f>
        <v>144500</v>
      </c>
      <c r="G147" s="92">
        <f t="shared" ref="G147:G150" si="6">G146+1</f>
        <v>2</v>
      </c>
    </row>
    <row r="148" spans="1:9" s="92" customFormat="1" ht="16" x14ac:dyDescent="0.2">
      <c r="F148" s="262">
        <f>G137</f>
        <v>144500</v>
      </c>
      <c r="G148" s="92">
        <f t="shared" si="6"/>
        <v>3</v>
      </c>
    </row>
    <row r="149" spans="1:9" s="92" customFormat="1" ht="16" x14ac:dyDescent="0.2">
      <c r="F149" s="262">
        <f>H137</f>
        <v>144500</v>
      </c>
      <c r="G149" s="92">
        <f t="shared" si="6"/>
        <v>4</v>
      </c>
    </row>
    <row r="150" spans="1:9" s="92" customFormat="1" ht="16" x14ac:dyDescent="0.2">
      <c r="F150" s="262">
        <f>I137</f>
        <v>244000</v>
      </c>
      <c r="G150" s="92">
        <f t="shared" si="6"/>
        <v>5</v>
      </c>
    </row>
    <row r="151" spans="1:9" s="92" customFormat="1" ht="16" x14ac:dyDescent="0.2"/>
    <row r="152" spans="1:9" s="92" customFormat="1" ht="16" x14ac:dyDescent="0.2">
      <c r="H152" s="274">
        <f>NPV(10%,F146:F150)+F145</f>
        <v>319550.35982390644</v>
      </c>
      <c r="I152" s="92" t="s">
        <v>2102</v>
      </c>
    </row>
    <row r="153" spans="1:9" s="92" customFormat="1" ht="16" x14ac:dyDescent="0.2"/>
    <row r="154" spans="1:9" s="92" customFormat="1" ht="16" x14ac:dyDescent="0.2">
      <c r="C154" s="93" t="s">
        <v>2103</v>
      </c>
      <c r="D154" s="93"/>
      <c r="E154" s="93"/>
      <c r="F154" s="93"/>
    </row>
    <row r="155" spans="1:9" s="92" customFormat="1" ht="16" x14ac:dyDescent="0.2">
      <c r="C155" s="93"/>
      <c r="D155" s="93"/>
      <c r="E155" s="93"/>
      <c r="F155" s="93"/>
    </row>
    <row r="156" spans="1:9" s="92" customFormat="1" ht="16" x14ac:dyDescent="0.2">
      <c r="C156" s="93" t="s">
        <v>2104</v>
      </c>
      <c r="D156" s="93"/>
      <c r="E156" s="93"/>
      <c r="F156" s="93"/>
    </row>
    <row r="157" spans="1:9" s="92" customFormat="1" ht="16" x14ac:dyDescent="0.2"/>
    <row r="158" spans="1:9" s="92" customFormat="1" ht="16" x14ac:dyDescent="0.2">
      <c r="A158" s="249" t="s">
        <v>2105</v>
      </c>
      <c r="B158" s="252"/>
      <c r="C158" s="252"/>
      <c r="D158" s="252"/>
      <c r="E158" s="252"/>
      <c r="F158" s="252"/>
      <c r="G158" s="252"/>
      <c r="H158" s="252"/>
    </row>
    <row r="159" spans="1:9" s="92" customFormat="1" ht="16" x14ac:dyDescent="0.2">
      <c r="A159" s="92" t="s">
        <v>2106</v>
      </c>
    </row>
    <row r="160" spans="1:9" s="92" customFormat="1" ht="16" x14ac:dyDescent="0.2">
      <c r="A160" s="92" t="s">
        <v>2107</v>
      </c>
    </row>
    <row r="161" spans="1:10" s="92" customFormat="1" ht="16" x14ac:dyDescent="0.2">
      <c r="A161" s="92" t="s">
        <v>2108</v>
      </c>
    </row>
    <row r="162" spans="1:10" s="92" customFormat="1" ht="16" x14ac:dyDescent="0.2">
      <c r="A162" s="92" t="s">
        <v>2109</v>
      </c>
    </row>
    <row r="163" spans="1:10" s="92" customFormat="1" ht="16" x14ac:dyDescent="0.2">
      <c r="A163" s="92" t="s">
        <v>2110</v>
      </c>
    </row>
    <row r="164" spans="1:10" s="92" customFormat="1" ht="16" x14ac:dyDescent="0.2">
      <c r="A164" s="92" t="s">
        <v>2111</v>
      </c>
    </row>
    <row r="165" spans="1:10" s="92" customFormat="1" ht="16" x14ac:dyDescent="0.2">
      <c r="A165" s="92" t="s">
        <v>2112</v>
      </c>
    </row>
    <row r="166" spans="1:10" s="92" customFormat="1" ht="16" x14ac:dyDescent="0.2">
      <c r="A166" s="92" t="s">
        <v>2113</v>
      </c>
    </row>
    <row r="167" spans="1:10" s="92" customFormat="1" ht="16" x14ac:dyDescent="0.2">
      <c r="A167" s="92" t="s">
        <v>2114</v>
      </c>
    </row>
    <row r="168" spans="1:10" s="92" customFormat="1" ht="16" x14ac:dyDescent="0.2"/>
    <row r="169" spans="1:10" s="92" customFormat="1" ht="16" x14ac:dyDescent="0.2">
      <c r="F169" s="259" t="s">
        <v>2075</v>
      </c>
      <c r="G169" s="259" t="s">
        <v>2076</v>
      </c>
    </row>
    <row r="170" spans="1:10" s="92" customFormat="1" ht="16" x14ac:dyDescent="0.2">
      <c r="A170" s="93" t="s">
        <v>2077</v>
      </c>
      <c r="C170" s="92" t="s">
        <v>2078</v>
      </c>
      <c r="F170" s="105" t="s">
        <v>2079</v>
      </c>
      <c r="G170" s="260">
        <v>200000</v>
      </c>
    </row>
    <row r="171" spans="1:10" s="92" customFormat="1" ht="16" x14ac:dyDescent="0.2">
      <c r="A171" s="93" t="s">
        <v>2080</v>
      </c>
      <c r="C171" s="92" t="s">
        <v>2081</v>
      </c>
      <c r="F171" s="105" t="s">
        <v>2082</v>
      </c>
      <c r="G171" s="261">
        <v>-70000</v>
      </c>
    </row>
    <row r="172" spans="1:10" s="92" customFormat="1" ht="16" x14ac:dyDescent="0.2">
      <c r="A172" s="93" t="s">
        <v>2084</v>
      </c>
      <c r="C172" s="92" t="s">
        <v>2085</v>
      </c>
      <c r="F172" s="105" t="s">
        <v>2082</v>
      </c>
      <c r="G172" s="262">
        <f>-500000/4</f>
        <v>-125000</v>
      </c>
      <c r="J172" s="92" t="s">
        <v>2115</v>
      </c>
    </row>
    <row r="173" spans="1:10" s="92" customFormat="1" ht="17" thickBot="1" x14ac:dyDescent="0.25">
      <c r="A173" s="93" t="s">
        <v>2087</v>
      </c>
      <c r="C173" s="92" t="s">
        <v>2088</v>
      </c>
      <c r="F173" s="105" t="s">
        <v>1211</v>
      </c>
      <c r="G173" s="275">
        <f>SUM(G170:G172)</f>
        <v>5000</v>
      </c>
    </row>
    <row r="174" spans="1:10" s="92" customFormat="1" ht="16" x14ac:dyDescent="0.2">
      <c r="A174" s="93" t="s">
        <v>2089</v>
      </c>
      <c r="C174" s="92" t="s">
        <v>2036</v>
      </c>
      <c r="F174" s="105" t="s">
        <v>2090</v>
      </c>
      <c r="G174" s="263">
        <v>0.3</v>
      </c>
    </row>
    <row r="175" spans="1:10" s="92" customFormat="1" ht="17" thickBot="1" x14ac:dyDescent="0.25">
      <c r="C175" s="92" t="s">
        <v>2091</v>
      </c>
      <c r="F175" s="264" t="s">
        <v>2082</v>
      </c>
      <c r="G175" s="265">
        <f>-G173*G174</f>
        <v>-1500</v>
      </c>
      <c r="J175" s="92" t="s">
        <v>2116</v>
      </c>
    </row>
    <row r="176" spans="1:10" s="92" customFormat="1" ht="16" x14ac:dyDescent="0.2"/>
    <row r="177" spans="1:9" s="92" customFormat="1" ht="16" x14ac:dyDescent="0.2">
      <c r="A177" s="93" t="s">
        <v>775</v>
      </c>
      <c r="C177" s="184"/>
      <c r="D177" s="184">
        <v>0</v>
      </c>
      <c r="E177" s="184">
        <v>1</v>
      </c>
      <c r="F177" s="184">
        <v>2</v>
      </c>
      <c r="G177" s="184">
        <v>3</v>
      </c>
      <c r="H177" s="276">
        <v>4</v>
      </c>
      <c r="I177" s="105"/>
    </row>
    <row r="178" spans="1:9" s="92" customFormat="1" ht="16" x14ac:dyDescent="0.2">
      <c r="A178" s="93" t="s">
        <v>2092</v>
      </c>
      <c r="C178" s="184" t="s">
        <v>2041</v>
      </c>
      <c r="D178" s="266">
        <v>-500000</v>
      </c>
      <c r="E178" s="267"/>
      <c r="F178" s="267"/>
      <c r="G178" s="267"/>
      <c r="H178" s="277"/>
      <c r="I178" s="262"/>
    </row>
    <row r="179" spans="1:9" s="92" customFormat="1" ht="16" x14ac:dyDescent="0.2">
      <c r="A179" s="93" t="s">
        <v>2093</v>
      </c>
      <c r="C179" s="184" t="s">
        <v>2026</v>
      </c>
      <c r="D179" s="267"/>
      <c r="E179" s="268">
        <f>G170</f>
        <v>200000</v>
      </c>
      <c r="F179" s="268">
        <f t="shared" ref="F179:H180" si="7">E179</f>
        <v>200000</v>
      </c>
      <c r="G179" s="268">
        <f t="shared" si="7"/>
        <v>200000</v>
      </c>
      <c r="H179" s="278">
        <f t="shared" si="7"/>
        <v>200000</v>
      </c>
      <c r="I179" s="262"/>
    </row>
    <row r="180" spans="1:9" s="92" customFormat="1" ht="16" x14ac:dyDescent="0.2">
      <c r="A180" s="93" t="s">
        <v>2094</v>
      </c>
      <c r="C180" s="184" t="s">
        <v>2095</v>
      </c>
      <c r="D180" s="267"/>
      <c r="E180" s="269">
        <f>G171</f>
        <v>-70000</v>
      </c>
      <c r="F180" s="269">
        <f t="shared" si="7"/>
        <v>-70000</v>
      </c>
      <c r="G180" s="269">
        <f t="shared" si="7"/>
        <v>-70000</v>
      </c>
      <c r="H180" s="279">
        <f t="shared" si="7"/>
        <v>-70000</v>
      </c>
      <c r="I180" s="262"/>
    </row>
    <row r="181" spans="1:9" s="92" customFormat="1" ht="16" x14ac:dyDescent="0.2">
      <c r="A181" s="93" t="s">
        <v>2096</v>
      </c>
      <c r="C181" s="270" t="s">
        <v>2091</v>
      </c>
      <c r="D181" s="267"/>
      <c r="E181" s="271">
        <f>G175</f>
        <v>-1500</v>
      </c>
      <c r="F181" s="271">
        <f>G175</f>
        <v>-1500</v>
      </c>
      <c r="G181" s="271">
        <f>G175</f>
        <v>-1500</v>
      </c>
      <c r="H181" s="271">
        <f>G181</f>
        <v>-1500</v>
      </c>
      <c r="I181" s="262"/>
    </row>
    <row r="182" spans="1:9" s="92" customFormat="1" ht="16" x14ac:dyDescent="0.2">
      <c r="A182" s="93" t="s">
        <v>2097</v>
      </c>
      <c r="C182" s="184" t="s">
        <v>2045</v>
      </c>
      <c r="D182" s="266">
        <v>-30000</v>
      </c>
      <c r="E182" s="267"/>
      <c r="F182" s="267"/>
      <c r="G182" s="267"/>
      <c r="H182" s="280">
        <v>30000</v>
      </c>
      <c r="I182" s="262"/>
    </row>
    <row r="183" spans="1:9" s="92" customFormat="1" ht="16" x14ac:dyDescent="0.2">
      <c r="C183" s="184" t="s">
        <v>2046</v>
      </c>
      <c r="D183" s="267"/>
      <c r="E183" s="267"/>
      <c r="F183" s="267"/>
      <c r="G183" s="267"/>
      <c r="H183" s="280">
        <v>40000</v>
      </c>
      <c r="I183" s="262"/>
    </row>
    <row r="184" spans="1:9" s="92" customFormat="1" ht="16" x14ac:dyDescent="0.2">
      <c r="C184" s="184" t="s">
        <v>2047</v>
      </c>
      <c r="D184" s="267"/>
      <c r="E184" s="267"/>
      <c r="F184" s="267"/>
      <c r="G184" s="267"/>
      <c r="H184" s="280">
        <f>-15%*40000</f>
        <v>-6000</v>
      </c>
      <c r="I184" s="262"/>
    </row>
    <row r="185" spans="1:9" s="92" customFormat="1" ht="22" thickBot="1" x14ac:dyDescent="0.3">
      <c r="C185" s="272" t="s">
        <v>2098</v>
      </c>
      <c r="D185" s="273">
        <f>SUM(D178:D184)</f>
        <v>-530000</v>
      </c>
      <c r="E185" s="273">
        <f t="shared" ref="E185:H185" si="8">SUM(E178:E184)</f>
        <v>128500</v>
      </c>
      <c r="F185" s="273">
        <f t="shared" si="8"/>
        <v>128500</v>
      </c>
      <c r="G185" s="273">
        <f t="shared" si="8"/>
        <v>128500</v>
      </c>
      <c r="H185" s="273">
        <f t="shared" si="8"/>
        <v>192500</v>
      </c>
      <c r="I185" s="281"/>
    </row>
    <row r="186" spans="1:9" s="92" customFormat="1" ht="16" x14ac:dyDescent="0.2"/>
    <row r="187" spans="1:9" s="92" customFormat="1" ht="16" x14ac:dyDescent="0.2">
      <c r="A187" s="93" t="s">
        <v>2099</v>
      </c>
      <c r="C187" s="92" t="s">
        <v>2100</v>
      </c>
    </row>
    <row r="188" spans="1:9" s="92" customFormat="1" ht="16" x14ac:dyDescent="0.2"/>
    <row r="189" spans="1:9" s="92" customFormat="1" ht="16" x14ac:dyDescent="0.2"/>
    <row r="190" spans="1:9" s="92" customFormat="1" ht="16" x14ac:dyDescent="0.2">
      <c r="D190" s="92" t="s">
        <v>2101</v>
      </c>
      <c r="I190" s="92" t="s">
        <v>2117</v>
      </c>
    </row>
    <row r="191" spans="1:9" s="92" customFormat="1" ht="16" x14ac:dyDescent="0.2"/>
    <row r="192" spans="1:9" s="92" customFormat="1" ht="16" x14ac:dyDescent="0.2">
      <c r="F192" s="105" t="s">
        <v>2061</v>
      </c>
    </row>
    <row r="193" spans="1:9" s="92" customFormat="1" ht="16" x14ac:dyDescent="0.2">
      <c r="F193" s="262">
        <f>D185</f>
        <v>-530000</v>
      </c>
      <c r="G193" s="92">
        <v>0</v>
      </c>
    </row>
    <row r="194" spans="1:9" s="92" customFormat="1" ht="16" x14ac:dyDescent="0.2">
      <c r="F194" s="262">
        <f>E185</f>
        <v>128500</v>
      </c>
      <c r="G194" s="92">
        <v>1</v>
      </c>
    </row>
    <row r="195" spans="1:9" s="92" customFormat="1" ht="16" x14ac:dyDescent="0.2">
      <c r="F195" s="262">
        <f>F185</f>
        <v>128500</v>
      </c>
      <c r="G195" s="92">
        <v>2</v>
      </c>
    </row>
    <row r="196" spans="1:9" s="92" customFormat="1" ht="16" x14ac:dyDescent="0.2">
      <c r="F196" s="262">
        <v>128500</v>
      </c>
      <c r="G196" s="92">
        <v>3</v>
      </c>
    </row>
    <row r="197" spans="1:9" s="92" customFormat="1" ht="16" x14ac:dyDescent="0.2">
      <c r="F197" s="262">
        <f>H185</f>
        <v>192500</v>
      </c>
      <c r="G197" s="92">
        <v>4</v>
      </c>
    </row>
    <row r="198" spans="1:9" s="92" customFormat="1" ht="16" x14ac:dyDescent="0.2">
      <c r="F198" s="262"/>
    </row>
    <row r="199" spans="1:9" s="92" customFormat="1" ht="16" x14ac:dyDescent="0.2">
      <c r="D199" s="92" t="s">
        <v>2118</v>
      </c>
      <c r="H199" s="282">
        <f>NPV(10%,F194:F198)+F193</f>
        <v>-78959.429000751348</v>
      </c>
      <c r="I199" s="92" t="s">
        <v>2102</v>
      </c>
    </row>
    <row r="200" spans="1:9" s="92" customFormat="1" ht="16" x14ac:dyDescent="0.2"/>
    <row r="201" spans="1:9" s="92" customFormat="1" ht="16" x14ac:dyDescent="0.2">
      <c r="C201" s="92" t="s">
        <v>2119</v>
      </c>
    </row>
    <row r="202" spans="1:9" s="92" customFormat="1" ht="16" x14ac:dyDescent="0.2"/>
    <row r="203" spans="1:9" s="92" customFormat="1" ht="16" x14ac:dyDescent="0.2">
      <c r="A203" s="249" t="s">
        <v>2120</v>
      </c>
      <c r="B203" s="252"/>
      <c r="C203" s="252"/>
      <c r="D203" s="252"/>
      <c r="E203" s="252"/>
      <c r="F203" s="252"/>
      <c r="G203" s="252"/>
      <c r="H203" s="252"/>
    </row>
    <row r="204" spans="1:9" s="92" customFormat="1" ht="16" x14ac:dyDescent="0.2"/>
    <row r="205" spans="1:9" s="92" customFormat="1" ht="16" x14ac:dyDescent="0.2">
      <c r="A205" s="92" t="s">
        <v>2121</v>
      </c>
    </row>
    <row r="206" spans="1:9" s="92" customFormat="1" ht="16" x14ac:dyDescent="0.2">
      <c r="A206" s="92" t="s">
        <v>2122</v>
      </c>
    </row>
    <row r="207" spans="1:9" s="92" customFormat="1" ht="16" x14ac:dyDescent="0.2">
      <c r="A207" s="93" t="s">
        <v>2123</v>
      </c>
      <c r="B207" s="93"/>
    </row>
    <row r="208" spans="1:9" s="92" customFormat="1" ht="16" x14ac:dyDescent="0.2">
      <c r="A208" s="93" t="s">
        <v>2124</v>
      </c>
      <c r="B208" s="93"/>
    </row>
    <row r="209" spans="1:10" s="92" customFormat="1" ht="16" x14ac:dyDescent="0.2">
      <c r="A209" s="93" t="s">
        <v>2125</v>
      </c>
    </row>
    <row r="210" spans="1:10" s="92" customFormat="1" ht="16" x14ac:dyDescent="0.2">
      <c r="A210" s="93" t="s">
        <v>2126</v>
      </c>
    </row>
    <row r="211" spans="1:10" s="92" customFormat="1" ht="16" x14ac:dyDescent="0.2">
      <c r="A211" s="93" t="s">
        <v>2127</v>
      </c>
    </row>
    <row r="212" spans="1:10" s="92" customFormat="1" ht="16" x14ac:dyDescent="0.2">
      <c r="A212" s="93" t="s">
        <v>2128</v>
      </c>
    </row>
    <row r="213" spans="1:10" s="92" customFormat="1" ht="16" x14ac:dyDescent="0.2">
      <c r="A213" s="93" t="s">
        <v>2129</v>
      </c>
    </row>
    <row r="214" spans="1:10" s="92" customFormat="1" ht="16" x14ac:dyDescent="0.2">
      <c r="A214" s="93" t="s">
        <v>2130</v>
      </c>
    </row>
    <row r="215" spans="1:10" s="92" customFormat="1" ht="16" x14ac:dyDescent="0.2">
      <c r="A215" s="93" t="s">
        <v>2131</v>
      </c>
    </row>
    <row r="216" spans="1:10" s="92" customFormat="1" ht="16" x14ac:dyDescent="0.2">
      <c r="A216" s="92" t="s">
        <v>2132</v>
      </c>
    </row>
    <row r="217" spans="1:10" s="92" customFormat="1" ht="16" x14ac:dyDescent="0.2">
      <c r="A217" s="92" t="s">
        <v>2133</v>
      </c>
    </row>
    <row r="218" spans="1:10" s="92" customFormat="1" ht="16" x14ac:dyDescent="0.2"/>
    <row r="219" spans="1:10" s="92" customFormat="1" ht="16" x14ac:dyDescent="0.2">
      <c r="A219" s="92" t="s">
        <v>2134</v>
      </c>
    </row>
    <row r="220" spans="1:10" s="92" customFormat="1" ht="16" x14ac:dyDescent="0.2"/>
    <row r="221" spans="1:10" s="92" customFormat="1" ht="16" x14ac:dyDescent="0.2">
      <c r="F221" s="259" t="s">
        <v>2075</v>
      </c>
      <c r="G221" s="259" t="s">
        <v>2076</v>
      </c>
    </row>
    <row r="222" spans="1:10" s="92" customFormat="1" ht="16" x14ac:dyDescent="0.2">
      <c r="A222" s="93" t="s">
        <v>2077</v>
      </c>
      <c r="C222" s="92" t="s">
        <v>2078</v>
      </c>
      <c r="F222" s="105" t="s">
        <v>2079</v>
      </c>
      <c r="G222" s="260">
        <v>188000</v>
      </c>
    </row>
    <row r="223" spans="1:10" s="92" customFormat="1" ht="16" x14ac:dyDescent="0.2">
      <c r="A223" s="93" t="s">
        <v>2080</v>
      </c>
      <c r="C223" s="92" t="s">
        <v>2081</v>
      </c>
      <c r="F223" s="105" t="s">
        <v>2082</v>
      </c>
      <c r="G223" s="261">
        <f>-40000-37000-20000</f>
        <v>-97000</v>
      </c>
      <c r="J223" s="92" t="s">
        <v>2135</v>
      </c>
    </row>
    <row r="224" spans="1:10" s="92" customFormat="1" ht="16" x14ac:dyDescent="0.2">
      <c r="A224" s="93" t="s">
        <v>2084</v>
      </c>
      <c r="C224" s="92" t="s">
        <v>2085</v>
      </c>
      <c r="F224" s="105" t="s">
        <v>2082</v>
      </c>
      <c r="G224" s="262">
        <f>-300000/4</f>
        <v>-75000</v>
      </c>
      <c r="J224" s="92" t="s">
        <v>2136</v>
      </c>
    </row>
    <row r="225" spans="1:9" s="92" customFormat="1" ht="17" thickBot="1" x14ac:dyDescent="0.25">
      <c r="A225" s="93" t="s">
        <v>2087</v>
      </c>
      <c r="C225" s="92" t="s">
        <v>2088</v>
      </c>
      <c r="F225" s="105" t="s">
        <v>1211</v>
      </c>
      <c r="G225" s="275">
        <f>SUM(G222:G224)</f>
        <v>16000</v>
      </c>
    </row>
    <row r="226" spans="1:9" s="92" customFormat="1" ht="16" x14ac:dyDescent="0.2">
      <c r="A226" s="93" t="s">
        <v>2089</v>
      </c>
      <c r="C226" s="92" t="s">
        <v>2036</v>
      </c>
      <c r="F226" s="105" t="s">
        <v>2090</v>
      </c>
      <c r="G226" s="263">
        <v>0.3</v>
      </c>
    </row>
    <row r="227" spans="1:9" s="92" customFormat="1" ht="17" thickBot="1" x14ac:dyDescent="0.25">
      <c r="C227" s="92" t="s">
        <v>2091</v>
      </c>
      <c r="F227" s="264" t="s">
        <v>2082</v>
      </c>
      <c r="G227" s="265">
        <f>-G225*G226</f>
        <v>-4800</v>
      </c>
    </row>
    <row r="228" spans="1:9" s="92" customFormat="1" ht="16" x14ac:dyDescent="0.2"/>
    <row r="229" spans="1:9" s="92" customFormat="1" ht="16" x14ac:dyDescent="0.2">
      <c r="A229" s="93" t="s">
        <v>775</v>
      </c>
      <c r="C229" s="184"/>
      <c r="D229" s="184">
        <v>0</v>
      </c>
      <c r="E229" s="184">
        <v>1</v>
      </c>
      <c r="F229" s="184">
        <v>2</v>
      </c>
      <c r="G229" s="184">
        <v>3</v>
      </c>
      <c r="H229" s="276">
        <v>4</v>
      </c>
      <c r="I229" s="105"/>
    </row>
    <row r="230" spans="1:9" s="92" customFormat="1" ht="16" x14ac:dyDescent="0.2">
      <c r="A230" s="93" t="s">
        <v>2092</v>
      </c>
      <c r="C230" s="184" t="s">
        <v>2041</v>
      </c>
      <c r="D230" s="266">
        <v>-300000</v>
      </c>
      <c r="E230" s="267"/>
      <c r="F230" s="267"/>
      <c r="G230" s="267"/>
      <c r="H230" s="277"/>
      <c r="I230" s="262"/>
    </row>
    <row r="231" spans="1:9" s="92" customFormat="1" ht="16" x14ac:dyDescent="0.2">
      <c r="A231" s="93" t="s">
        <v>2093</v>
      </c>
      <c r="C231" s="184" t="s">
        <v>2026</v>
      </c>
      <c r="D231" s="267"/>
      <c r="E231" s="268">
        <f>G222</f>
        <v>188000</v>
      </c>
      <c r="F231" s="268">
        <f t="shared" ref="F231:H233" si="9">E231</f>
        <v>188000</v>
      </c>
      <c r="G231" s="268">
        <f t="shared" si="9"/>
        <v>188000</v>
      </c>
      <c r="H231" s="278">
        <f t="shared" si="9"/>
        <v>188000</v>
      </c>
      <c r="I231" s="262"/>
    </row>
    <row r="232" spans="1:9" s="92" customFormat="1" ht="16" x14ac:dyDescent="0.2">
      <c r="A232" s="93" t="s">
        <v>2094</v>
      </c>
      <c r="C232" s="184" t="s">
        <v>2095</v>
      </c>
      <c r="D232" s="267"/>
      <c r="E232" s="269">
        <f>G223</f>
        <v>-97000</v>
      </c>
      <c r="F232" s="269">
        <f t="shared" si="9"/>
        <v>-97000</v>
      </c>
      <c r="G232" s="269">
        <f t="shared" si="9"/>
        <v>-97000</v>
      </c>
      <c r="H232" s="269">
        <f t="shared" si="9"/>
        <v>-97000</v>
      </c>
      <c r="I232" s="262"/>
    </row>
    <row r="233" spans="1:9" s="92" customFormat="1" ht="16" x14ac:dyDescent="0.2">
      <c r="A233" s="93" t="s">
        <v>2096</v>
      </c>
      <c r="C233" s="270" t="s">
        <v>2091</v>
      </c>
      <c r="D233" s="267"/>
      <c r="E233" s="271">
        <f>G227</f>
        <v>-4800</v>
      </c>
      <c r="F233" s="271">
        <f t="shared" si="9"/>
        <v>-4800</v>
      </c>
      <c r="G233" s="271">
        <f t="shared" si="9"/>
        <v>-4800</v>
      </c>
      <c r="H233" s="271">
        <f t="shared" si="9"/>
        <v>-4800</v>
      </c>
      <c r="I233" s="262"/>
    </row>
    <row r="234" spans="1:9" s="92" customFormat="1" ht="16" x14ac:dyDescent="0.2">
      <c r="A234" s="93" t="s">
        <v>2097</v>
      </c>
      <c r="C234" s="184" t="s">
        <v>2045</v>
      </c>
      <c r="D234" s="266">
        <v>-75000</v>
      </c>
      <c r="E234" s="267"/>
      <c r="F234" s="267"/>
      <c r="G234" s="267"/>
      <c r="H234" s="280">
        <v>75000</v>
      </c>
      <c r="I234" s="262"/>
    </row>
    <row r="235" spans="1:9" s="92" customFormat="1" ht="16" x14ac:dyDescent="0.2">
      <c r="C235" s="184" t="s">
        <v>2046</v>
      </c>
      <c r="D235" s="267"/>
      <c r="E235" s="267"/>
      <c r="F235" s="267"/>
      <c r="G235" s="267"/>
      <c r="H235" s="280">
        <v>35000</v>
      </c>
      <c r="I235" s="262"/>
    </row>
    <row r="236" spans="1:9" s="92" customFormat="1" ht="16" x14ac:dyDescent="0.2">
      <c r="C236" s="184" t="s">
        <v>2047</v>
      </c>
      <c r="D236" s="267"/>
      <c r="E236" s="267"/>
      <c r="F236" s="267"/>
      <c r="G236" s="267"/>
      <c r="H236" s="280">
        <f>-12%*H235</f>
        <v>-4200</v>
      </c>
      <c r="I236" s="262"/>
    </row>
    <row r="237" spans="1:9" s="92" customFormat="1" ht="22" thickBot="1" x14ac:dyDescent="0.3">
      <c r="C237" s="272" t="s">
        <v>2098</v>
      </c>
      <c r="D237" s="273">
        <f>SUM(D230:D236)</f>
        <v>-375000</v>
      </c>
      <c r="E237" s="273">
        <f>SUM(E230:E236)</f>
        <v>86200</v>
      </c>
      <c r="F237" s="273">
        <f>SUM(F230:F236)</f>
        <v>86200</v>
      </c>
      <c r="G237" s="273">
        <f>SUM(G230:G236)</f>
        <v>86200</v>
      </c>
      <c r="H237" s="273">
        <f>SUM(H230:H236)</f>
        <v>192000</v>
      </c>
      <c r="I237" s="281"/>
    </row>
    <row r="238" spans="1:9" s="92" customFormat="1" ht="16" x14ac:dyDescent="0.2"/>
    <row r="239" spans="1:9" s="92" customFormat="1" ht="16" x14ac:dyDescent="0.2">
      <c r="A239" s="93" t="s">
        <v>2099</v>
      </c>
      <c r="C239" s="92" t="s">
        <v>2100</v>
      </c>
    </row>
    <row r="240" spans="1:9" s="92" customFormat="1" ht="16" x14ac:dyDescent="0.2"/>
    <row r="241" spans="1:9" s="92" customFormat="1" ht="16" x14ac:dyDescent="0.2"/>
    <row r="242" spans="1:9" s="92" customFormat="1" ht="16" x14ac:dyDescent="0.2">
      <c r="D242" s="92" t="s">
        <v>2101</v>
      </c>
    </row>
    <row r="243" spans="1:9" s="92" customFormat="1" ht="16" x14ac:dyDescent="0.2"/>
    <row r="244" spans="1:9" s="92" customFormat="1" ht="16" x14ac:dyDescent="0.2">
      <c r="F244" s="105" t="s">
        <v>2061</v>
      </c>
      <c r="I244" s="92" t="s">
        <v>2137</v>
      </c>
    </row>
    <row r="245" spans="1:9" s="92" customFormat="1" ht="16" x14ac:dyDescent="0.2">
      <c r="F245" s="262">
        <f>D237</f>
        <v>-375000</v>
      </c>
      <c r="G245" s="92">
        <v>0</v>
      </c>
    </row>
    <row r="246" spans="1:9" s="92" customFormat="1" ht="16" x14ac:dyDescent="0.2">
      <c r="F246" s="262">
        <f>E237</f>
        <v>86200</v>
      </c>
      <c r="G246" s="92">
        <v>1</v>
      </c>
    </row>
    <row r="247" spans="1:9" s="92" customFormat="1" ht="16" x14ac:dyDescent="0.2">
      <c r="F247" s="262">
        <f>F237</f>
        <v>86200</v>
      </c>
      <c r="G247" s="92">
        <v>2</v>
      </c>
    </row>
    <row r="248" spans="1:9" s="92" customFormat="1" ht="16" x14ac:dyDescent="0.2">
      <c r="F248" s="262">
        <f>G237</f>
        <v>86200</v>
      </c>
      <c r="G248" s="92">
        <v>3</v>
      </c>
    </row>
    <row r="249" spans="1:9" s="92" customFormat="1" ht="16" x14ac:dyDescent="0.2">
      <c r="F249" s="262">
        <f>H237</f>
        <v>192000</v>
      </c>
      <c r="G249" s="92">
        <v>4</v>
      </c>
    </row>
    <row r="250" spans="1:9" s="92" customFormat="1" ht="16" x14ac:dyDescent="0.2">
      <c r="F250" s="262"/>
    </row>
    <row r="251" spans="1:9" s="92" customFormat="1" ht="16" x14ac:dyDescent="0.2">
      <c r="D251" s="92" t="s">
        <v>2118</v>
      </c>
      <c r="H251" s="282">
        <f>NPV(8%,F246:F249)+F245</f>
        <v>-11728.50796231383</v>
      </c>
      <c r="I251" s="92" t="s">
        <v>2102</v>
      </c>
    </row>
    <row r="252" spans="1:9" s="92" customFormat="1" ht="16" x14ac:dyDescent="0.2"/>
    <row r="253" spans="1:9" s="92" customFormat="1" ht="16" x14ac:dyDescent="0.2">
      <c r="C253" s="92" t="s">
        <v>2119</v>
      </c>
    </row>
    <row r="254" spans="1:9" s="92" customFormat="1" ht="16" x14ac:dyDescent="0.2"/>
    <row r="255" spans="1:9" s="92" customFormat="1" ht="16" x14ac:dyDescent="0.2">
      <c r="A255" s="249" t="s">
        <v>2138</v>
      </c>
      <c r="B255" s="252"/>
      <c r="C255" s="252"/>
      <c r="D255" s="252"/>
      <c r="E255" s="252"/>
      <c r="F255" s="252"/>
      <c r="G255" s="252"/>
      <c r="H255" s="252"/>
      <c r="I255" s="252"/>
    </row>
    <row r="256" spans="1:9" s="92" customFormat="1" ht="16" x14ac:dyDescent="0.2">
      <c r="A256" s="92" t="s">
        <v>2139</v>
      </c>
    </row>
    <row r="257" spans="1:10" s="92" customFormat="1" ht="16" x14ac:dyDescent="0.2">
      <c r="A257" s="92" t="s">
        <v>2140</v>
      </c>
    </row>
    <row r="258" spans="1:10" s="92" customFormat="1" ht="16" x14ac:dyDescent="0.2">
      <c r="A258" s="92" t="s">
        <v>2141</v>
      </c>
    </row>
    <row r="259" spans="1:10" s="92" customFormat="1" ht="16" x14ac:dyDescent="0.2">
      <c r="A259" s="92" t="s">
        <v>2142</v>
      </c>
    </row>
    <row r="260" spans="1:10" s="92" customFormat="1" ht="16" x14ac:dyDescent="0.2">
      <c r="A260" s="92" t="s">
        <v>2143</v>
      </c>
    </row>
    <row r="261" spans="1:10" s="92" customFormat="1" ht="16" x14ac:dyDescent="0.2">
      <c r="A261" s="92" t="s">
        <v>2144</v>
      </c>
    </row>
    <row r="262" spans="1:10" s="92" customFormat="1" ht="16" x14ac:dyDescent="0.2">
      <c r="A262" s="92" t="s">
        <v>2145</v>
      </c>
      <c r="C262" s="93"/>
      <c r="D262" s="93"/>
      <c r="E262" s="93"/>
      <c r="F262" s="93"/>
      <c r="G262" s="93"/>
      <c r="H262" s="93"/>
      <c r="I262" s="93"/>
    </row>
    <row r="263" spans="1:10" s="92" customFormat="1" ht="16" x14ac:dyDescent="0.2">
      <c r="A263" s="92" t="s">
        <v>2146</v>
      </c>
      <c r="C263" s="93"/>
      <c r="D263" s="93"/>
      <c r="E263" s="93"/>
      <c r="F263" s="93"/>
      <c r="G263" s="93"/>
      <c r="H263" s="93"/>
      <c r="I263" s="93"/>
    </row>
    <row r="264" spans="1:10" s="92" customFormat="1" ht="16" x14ac:dyDescent="0.2">
      <c r="A264" s="92" t="s">
        <v>2147</v>
      </c>
    </row>
    <row r="265" spans="1:10" s="92" customFormat="1" ht="16" x14ac:dyDescent="0.2">
      <c r="A265" s="92" t="s">
        <v>2148</v>
      </c>
    </row>
    <row r="266" spans="1:10" s="92" customFormat="1" ht="16" x14ac:dyDescent="0.2"/>
    <row r="267" spans="1:10" s="92" customFormat="1" ht="16" x14ac:dyDescent="0.2">
      <c r="A267" s="92" t="s">
        <v>321</v>
      </c>
    </row>
    <row r="268" spans="1:10" s="92" customFormat="1" ht="16" x14ac:dyDescent="0.2">
      <c r="A268" s="92" t="s">
        <v>2149</v>
      </c>
    </row>
    <row r="269" spans="1:10" s="92" customFormat="1" ht="16" x14ac:dyDescent="0.2"/>
    <row r="270" spans="1:10" s="92" customFormat="1" ht="16" x14ac:dyDescent="0.2"/>
    <row r="271" spans="1:10" s="92" customFormat="1" ht="16" x14ac:dyDescent="0.2">
      <c r="F271" s="259" t="s">
        <v>2075</v>
      </c>
      <c r="G271" s="259" t="s">
        <v>2150</v>
      </c>
      <c r="H271" s="259" t="s">
        <v>2151</v>
      </c>
      <c r="I271" s="259" t="s">
        <v>2152</v>
      </c>
      <c r="J271" s="259" t="s">
        <v>2153</v>
      </c>
    </row>
    <row r="272" spans="1:10" s="92" customFormat="1" ht="16" x14ac:dyDescent="0.2">
      <c r="A272" s="93" t="s">
        <v>2077</v>
      </c>
      <c r="C272" s="92" t="s">
        <v>2078</v>
      </c>
      <c r="F272" s="105" t="s">
        <v>2079</v>
      </c>
      <c r="G272" s="260">
        <f>70000+15000</f>
        <v>85000</v>
      </c>
      <c r="H272" s="260">
        <f>70000*1.3+15000</f>
        <v>106000</v>
      </c>
      <c r="I272" s="260">
        <f>H272*1.3+15000</f>
        <v>152800</v>
      </c>
      <c r="J272" s="260">
        <f>I272*1.3+15000</f>
        <v>213640</v>
      </c>
    </row>
    <row r="273" spans="1:10" s="92" customFormat="1" ht="16" x14ac:dyDescent="0.2">
      <c r="A273" s="93" t="s">
        <v>2080</v>
      </c>
      <c r="C273" s="92" t="s">
        <v>2081</v>
      </c>
      <c r="F273" s="105" t="s">
        <v>2082</v>
      </c>
      <c r="G273" s="261">
        <v>-20000</v>
      </c>
      <c r="H273" s="261">
        <v>-40000</v>
      </c>
      <c r="I273" s="261">
        <f>H273</f>
        <v>-40000</v>
      </c>
      <c r="J273" s="261">
        <f>I273</f>
        <v>-40000</v>
      </c>
    </row>
    <row r="274" spans="1:10" s="92" customFormat="1" ht="16" x14ac:dyDescent="0.2">
      <c r="A274" s="93" t="s">
        <v>2084</v>
      </c>
      <c r="C274" s="92" t="s">
        <v>2085</v>
      </c>
      <c r="F274" s="105" t="s">
        <v>2082</v>
      </c>
      <c r="G274" s="262">
        <v>-100000</v>
      </c>
      <c r="H274" s="262">
        <v>-100000</v>
      </c>
      <c r="I274" s="262">
        <v>-100000</v>
      </c>
      <c r="J274" s="262">
        <v>-100000</v>
      </c>
    </row>
    <row r="275" spans="1:10" s="92" customFormat="1" ht="17" thickBot="1" x14ac:dyDescent="0.25">
      <c r="A275" s="93" t="s">
        <v>2087</v>
      </c>
      <c r="C275" s="92" t="s">
        <v>2088</v>
      </c>
      <c r="F275" s="105" t="s">
        <v>1211</v>
      </c>
      <c r="G275" s="275">
        <f>G272+G273+G274</f>
        <v>-35000</v>
      </c>
      <c r="H275" s="275">
        <f>H272+H273+H274</f>
        <v>-34000</v>
      </c>
      <c r="I275" s="275">
        <f>I272+I273+I274</f>
        <v>12800</v>
      </c>
      <c r="J275" s="275">
        <f>SUM(J272:J274)</f>
        <v>73640</v>
      </c>
    </row>
    <row r="276" spans="1:10" s="92" customFormat="1" ht="16" x14ac:dyDescent="0.2">
      <c r="A276" s="93" t="s">
        <v>2089</v>
      </c>
      <c r="C276" s="92" t="s">
        <v>2036</v>
      </c>
      <c r="F276" s="105" t="s">
        <v>2090</v>
      </c>
      <c r="G276" s="263">
        <v>0.25</v>
      </c>
      <c r="H276" s="263">
        <v>0.25</v>
      </c>
      <c r="I276" s="263">
        <v>0.25</v>
      </c>
      <c r="J276" s="263">
        <v>0.25</v>
      </c>
    </row>
    <row r="277" spans="1:10" s="92" customFormat="1" ht="17" thickBot="1" x14ac:dyDescent="0.25">
      <c r="C277" s="92" t="s">
        <v>2091</v>
      </c>
      <c r="F277" s="264" t="s">
        <v>2082</v>
      </c>
      <c r="G277" s="265">
        <f>-G275*G276</f>
        <v>8750</v>
      </c>
      <c r="H277" s="265">
        <f>-H275*H276</f>
        <v>8500</v>
      </c>
      <c r="I277" s="265">
        <f>-I275*I276</f>
        <v>-3200</v>
      </c>
      <c r="J277" s="265">
        <f>-J275*J276</f>
        <v>-18410</v>
      </c>
    </row>
    <row r="278" spans="1:10" s="92" customFormat="1" ht="16" x14ac:dyDescent="0.2"/>
    <row r="279" spans="1:10" s="92" customFormat="1" ht="16" x14ac:dyDescent="0.2">
      <c r="A279" s="93" t="s">
        <v>775</v>
      </c>
      <c r="C279" s="184"/>
      <c r="D279" s="184">
        <v>0</v>
      </c>
      <c r="E279" s="184">
        <v>1</v>
      </c>
      <c r="F279" s="184">
        <v>2</v>
      </c>
      <c r="G279" s="184">
        <v>3</v>
      </c>
      <c r="H279" s="276">
        <v>4</v>
      </c>
      <c r="I279" s="105"/>
    </row>
    <row r="280" spans="1:10" s="92" customFormat="1" ht="16" x14ac:dyDescent="0.2">
      <c r="A280" s="93" t="s">
        <v>2092</v>
      </c>
      <c r="C280" s="184" t="s">
        <v>2041</v>
      </c>
      <c r="D280" s="266">
        <v>-400000</v>
      </c>
      <c r="E280" s="267"/>
      <c r="F280" s="267"/>
      <c r="G280" s="267"/>
      <c r="H280" s="277"/>
      <c r="I280" s="262"/>
    </row>
    <row r="281" spans="1:10" s="92" customFormat="1" ht="16" x14ac:dyDescent="0.2">
      <c r="A281" s="93" t="s">
        <v>2093</v>
      </c>
      <c r="C281" s="184" t="s">
        <v>2026</v>
      </c>
      <c r="D281" s="267"/>
      <c r="E281" s="268">
        <f>G272</f>
        <v>85000</v>
      </c>
      <c r="F281" s="268">
        <f t="shared" ref="F281:H282" si="10">H272</f>
        <v>106000</v>
      </c>
      <c r="G281" s="268">
        <f t="shared" si="10"/>
        <v>152800</v>
      </c>
      <c r="H281" s="268">
        <f t="shared" si="10"/>
        <v>213640</v>
      </c>
      <c r="I281" s="262"/>
    </row>
    <row r="282" spans="1:10" s="92" customFormat="1" ht="16" x14ac:dyDescent="0.2">
      <c r="A282" s="93" t="s">
        <v>2094</v>
      </c>
      <c r="C282" s="184" t="s">
        <v>2095</v>
      </c>
      <c r="D282" s="267"/>
      <c r="E282" s="269">
        <f>G273</f>
        <v>-20000</v>
      </c>
      <c r="F282" s="269">
        <f t="shared" si="10"/>
        <v>-40000</v>
      </c>
      <c r="G282" s="269">
        <f t="shared" si="10"/>
        <v>-40000</v>
      </c>
      <c r="H282" s="269">
        <f t="shared" si="10"/>
        <v>-40000</v>
      </c>
      <c r="I282" s="262"/>
    </row>
    <row r="283" spans="1:10" s="92" customFormat="1" ht="16" x14ac:dyDescent="0.2">
      <c r="A283" s="93" t="s">
        <v>2096</v>
      </c>
      <c r="C283" s="184" t="s">
        <v>2044</v>
      </c>
      <c r="D283" s="267"/>
      <c r="E283" s="271">
        <f>G277</f>
        <v>8750</v>
      </c>
      <c r="F283" s="271">
        <f t="shared" ref="F283:H283" si="11">H277</f>
        <v>8500</v>
      </c>
      <c r="G283" s="271">
        <f t="shared" si="11"/>
        <v>-3200</v>
      </c>
      <c r="H283" s="271">
        <f t="shared" si="11"/>
        <v>-18410</v>
      </c>
      <c r="I283" s="262"/>
    </row>
    <row r="284" spans="1:10" s="92" customFormat="1" ht="16" x14ac:dyDescent="0.2">
      <c r="A284" s="93" t="s">
        <v>2097</v>
      </c>
      <c r="C284" s="184" t="s">
        <v>2045</v>
      </c>
      <c r="D284" s="266">
        <v>-12000</v>
      </c>
      <c r="E284" s="267"/>
      <c r="F284" s="267"/>
      <c r="G284" s="267"/>
      <c r="H284" s="280">
        <f>-D284</f>
        <v>12000</v>
      </c>
      <c r="I284" s="262"/>
    </row>
    <row r="285" spans="1:10" s="92" customFormat="1" ht="16" x14ac:dyDescent="0.2">
      <c r="C285" s="184" t="s">
        <v>2046</v>
      </c>
      <c r="D285" s="267"/>
      <c r="E285" s="267"/>
      <c r="F285" s="267"/>
      <c r="G285" s="267"/>
      <c r="H285" s="280">
        <v>77000</v>
      </c>
      <c r="I285" s="262"/>
    </row>
    <row r="286" spans="1:10" s="92" customFormat="1" ht="16" x14ac:dyDescent="0.2">
      <c r="C286" s="184" t="s">
        <v>2047</v>
      </c>
      <c r="D286" s="267"/>
      <c r="E286" s="267"/>
      <c r="F286" s="267"/>
      <c r="G286" s="267"/>
      <c r="H286" s="280">
        <v>0</v>
      </c>
      <c r="I286" s="262"/>
    </row>
    <row r="287" spans="1:10" s="92" customFormat="1" ht="22" thickBot="1" x14ac:dyDescent="0.3">
      <c r="C287" s="272" t="s">
        <v>2098</v>
      </c>
      <c r="D287" s="273">
        <f>D280+D284</f>
        <v>-412000</v>
      </c>
      <c r="E287" s="273">
        <f>E281+E282+E283</f>
        <v>73750</v>
      </c>
      <c r="F287" s="273">
        <f>F281+F282+F283</f>
        <v>74500</v>
      </c>
      <c r="G287" s="273">
        <f>G281+G282+G283</f>
        <v>109600</v>
      </c>
      <c r="H287" s="273">
        <f>H281+H282+H283+H284+H285+H286</f>
        <v>244230</v>
      </c>
      <c r="I287" s="281"/>
    </row>
    <row r="288" spans="1:10" s="92" customFormat="1" ht="16" x14ac:dyDescent="0.2"/>
    <row r="289" spans="1:9" s="92" customFormat="1" ht="16" x14ac:dyDescent="0.2">
      <c r="A289" s="93" t="s">
        <v>2099</v>
      </c>
      <c r="C289" s="92" t="s">
        <v>2100</v>
      </c>
    </row>
    <row r="290" spans="1:9" s="92" customFormat="1" ht="16" x14ac:dyDescent="0.2"/>
    <row r="291" spans="1:9" s="92" customFormat="1" ht="16" x14ac:dyDescent="0.2">
      <c r="I291" s="92" t="s">
        <v>2154</v>
      </c>
    </row>
    <row r="292" spans="1:9" s="92" customFormat="1" ht="16" x14ac:dyDescent="0.2">
      <c r="D292" s="92" t="s">
        <v>2101</v>
      </c>
      <c r="I292" s="92" t="s">
        <v>2117</v>
      </c>
    </row>
    <row r="293" spans="1:9" s="92" customFormat="1" ht="16" x14ac:dyDescent="0.2"/>
    <row r="294" spans="1:9" s="92" customFormat="1" ht="16" x14ac:dyDescent="0.2">
      <c r="F294" s="105" t="s">
        <v>2061</v>
      </c>
      <c r="I294" s="92" t="s">
        <v>2137</v>
      </c>
    </row>
    <row r="295" spans="1:9" s="92" customFormat="1" ht="16" x14ac:dyDescent="0.2">
      <c r="F295" s="262">
        <f>D287</f>
        <v>-412000</v>
      </c>
      <c r="G295" s="92">
        <v>0</v>
      </c>
    </row>
    <row r="296" spans="1:9" s="92" customFormat="1" ht="16" x14ac:dyDescent="0.2">
      <c r="F296" s="262">
        <f>E287</f>
        <v>73750</v>
      </c>
      <c r="G296" s="92">
        <v>1</v>
      </c>
    </row>
    <row r="297" spans="1:9" s="92" customFormat="1" ht="16" x14ac:dyDescent="0.2">
      <c r="F297" s="262">
        <f>F287</f>
        <v>74500</v>
      </c>
      <c r="G297" s="92">
        <v>2</v>
      </c>
    </row>
    <row r="298" spans="1:9" s="92" customFormat="1" ht="16" x14ac:dyDescent="0.2">
      <c r="F298" s="262">
        <f>G287</f>
        <v>109600</v>
      </c>
      <c r="G298" s="92">
        <v>3</v>
      </c>
    </row>
    <row r="299" spans="1:9" s="92" customFormat="1" ht="16" x14ac:dyDescent="0.2">
      <c r="F299" s="262">
        <f>H287</f>
        <v>244230</v>
      </c>
      <c r="G299" s="92">
        <v>4</v>
      </c>
    </row>
    <row r="300" spans="1:9" s="92" customFormat="1" ht="16" x14ac:dyDescent="0.2">
      <c r="F300" s="262"/>
    </row>
    <row r="301" spans="1:9" s="92" customFormat="1" ht="16" x14ac:dyDescent="0.2">
      <c r="D301" s="92" t="s">
        <v>2118</v>
      </c>
      <c r="H301" s="282">
        <f>NPV(10%,F296:F299)+F295</f>
        <v>-34227.819138037157</v>
      </c>
      <c r="I301" s="92" t="s">
        <v>2102</v>
      </c>
    </row>
    <row r="302" spans="1:9" s="92" customFormat="1" ht="16" x14ac:dyDescent="0.2"/>
    <row r="303" spans="1:9" s="92" customFormat="1" ht="16" x14ac:dyDescent="0.2">
      <c r="D303" s="92" t="s">
        <v>2155</v>
      </c>
    </row>
  </sheetData>
  <mergeCells count="1">
    <mergeCell ref="C15:H16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F9FB30-EA63-B244-B501-C0EE65F2FD2D}">
  <dimension ref="A1:AC678"/>
  <sheetViews>
    <sheetView rightToLeft="1" zoomScale="279" zoomScaleNormal="220" workbookViewId="0">
      <selection activeCell="J355" sqref="J355"/>
    </sheetView>
  </sheetViews>
  <sheetFormatPr baseColWidth="10" defaultColWidth="8.83203125" defaultRowHeight="15" x14ac:dyDescent="0.2"/>
  <cols>
    <col min="1" max="1" width="16.5" style="43" customWidth="1"/>
    <col min="2" max="2" width="10" style="43" customWidth="1"/>
    <col min="3" max="3" width="11" style="43" customWidth="1"/>
    <col min="4" max="4" width="10.83203125" style="43" customWidth="1"/>
    <col min="5" max="5" width="9.5" style="43" bestFit="1" customWidth="1"/>
    <col min="6" max="10" width="8.83203125" style="43"/>
    <col min="11" max="11" width="10.6640625" style="43" customWidth="1"/>
    <col min="12" max="12" width="9.5" style="43" bestFit="1" customWidth="1"/>
    <col min="13" max="16384" width="8.83203125" style="43"/>
  </cols>
  <sheetData>
    <row r="1" spans="1:8" ht="16" thickBot="1" x14ac:dyDescent="0.25">
      <c r="A1" s="300" t="s">
        <v>2156</v>
      </c>
      <c r="B1" s="46"/>
      <c r="C1" s="46"/>
      <c r="D1" s="46"/>
      <c r="E1" s="46"/>
      <c r="F1" s="46"/>
      <c r="G1" s="46"/>
      <c r="H1" s="46"/>
    </row>
    <row r="2" spans="1:8" x14ac:dyDescent="0.2">
      <c r="A2" s="211" t="s">
        <v>2157</v>
      </c>
      <c r="B2" s="212"/>
      <c r="C2" s="212"/>
      <c r="D2" s="212"/>
      <c r="E2" s="212"/>
      <c r="F2" s="212"/>
      <c r="G2" s="212"/>
      <c r="H2" s="213"/>
    </row>
    <row r="3" spans="1:8" x14ac:dyDescent="0.2">
      <c r="A3" s="320" t="s">
        <v>2158</v>
      </c>
      <c r="H3" s="215"/>
    </row>
    <row r="4" spans="1:8" x14ac:dyDescent="0.2">
      <c r="A4" s="320" t="s">
        <v>2159</v>
      </c>
      <c r="H4" s="215"/>
    </row>
    <row r="5" spans="1:8" x14ac:dyDescent="0.2">
      <c r="A5" s="320" t="s">
        <v>2160</v>
      </c>
      <c r="H5" s="215"/>
    </row>
    <row r="6" spans="1:8" x14ac:dyDescent="0.2">
      <c r="A6" s="320" t="s">
        <v>2161</v>
      </c>
      <c r="H6" s="215"/>
    </row>
    <row r="7" spans="1:8" ht="16" thickBot="1" x14ac:dyDescent="0.25">
      <c r="A7" s="234" t="s">
        <v>2162</v>
      </c>
      <c r="B7" s="217"/>
      <c r="C7" s="217"/>
      <c r="D7" s="217"/>
      <c r="E7" s="217"/>
      <c r="F7" s="217"/>
      <c r="G7" s="217"/>
      <c r="H7" s="218"/>
    </row>
    <row r="8" spans="1:8" ht="16" thickBot="1" x14ac:dyDescent="0.25"/>
    <row r="9" spans="1:8" x14ac:dyDescent="0.2">
      <c r="A9" s="211" t="s">
        <v>2163</v>
      </c>
      <c r="B9" s="212"/>
      <c r="C9" s="212"/>
      <c r="D9" s="212"/>
      <c r="E9" s="212"/>
      <c r="F9" s="212"/>
      <c r="G9" s="212"/>
      <c r="H9" s="213"/>
    </row>
    <row r="10" spans="1:8" x14ac:dyDescent="0.2">
      <c r="A10" s="320" t="s">
        <v>2384</v>
      </c>
      <c r="H10" s="215"/>
    </row>
    <row r="11" spans="1:8" x14ac:dyDescent="0.2">
      <c r="A11" s="320" t="s">
        <v>2164</v>
      </c>
      <c r="H11" s="215"/>
    </row>
    <row r="12" spans="1:8" x14ac:dyDescent="0.2">
      <c r="A12" s="320"/>
      <c r="H12" s="215"/>
    </row>
    <row r="13" spans="1:8" x14ac:dyDescent="0.2">
      <c r="A13" s="320" t="s">
        <v>2382</v>
      </c>
      <c r="H13" s="215"/>
    </row>
    <row r="14" spans="1:8" x14ac:dyDescent="0.2">
      <c r="A14" s="214" t="s">
        <v>2381</v>
      </c>
      <c r="H14" s="215"/>
    </row>
    <row r="15" spans="1:8" x14ac:dyDescent="0.2">
      <c r="A15" s="320" t="s">
        <v>2383</v>
      </c>
      <c r="H15" s="215"/>
    </row>
    <row r="16" spans="1:8" ht="16" thickBot="1" x14ac:dyDescent="0.25">
      <c r="A16" s="234" t="s">
        <v>2385</v>
      </c>
      <c r="B16" s="217"/>
      <c r="C16" s="217"/>
      <c r="D16" s="217"/>
      <c r="E16" s="217"/>
      <c r="F16" s="217"/>
      <c r="G16" s="217"/>
      <c r="H16" s="218"/>
    </row>
    <row r="17" spans="1:13" ht="16" thickBot="1" x14ac:dyDescent="0.25"/>
    <row r="18" spans="1:13" x14ac:dyDescent="0.2">
      <c r="A18" s="211" t="s">
        <v>2165</v>
      </c>
      <c r="B18" s="212"/>
      <c r="C18" s="212"/>
      <c r="D18" s="212"/>
      <c r="E18" s="212"/>
      <c r="F18" s="212"/>
      <c r="G18" s="212"/>
      <c r="H18" s="213"/>
    </row>
    <row r="19" spans="1:13" x14ac:dyDescent="0.2">
      <c r="A19" s="320" t="s">
        <v>2166</v>
      </c>
      <c r="H19" s="215"/>
    </row>
    <row r="20" spans="1:13" x14ac:dyDescent="0.2">
      <c r="A20" s="320" t="s">
        <v>2167</v>
      </c>
      <c r="H20" s="215"/>
    </row>
    <row r="21" spans="1:13" x14ac:dyDescent="0.2">
      <c r="A21" s="320" t="s">
        <v>2168</v>
      </c>
      <c r="H21" s="215"/>
    </row>
    <row r="22" spans="1:13" ht="16" thickBot="1" x14ac:dyDescent="0.25">
      <c r="A22" s="234" t="s">
        <v>2380</v>
      </c>
      <c r="B22" s="217"/>
      <c r="C22" s="217"/>
      <c r="D22" s="217"/>
      <c r="E22" s="217"/>
      <c r="F22" s="217"/>
      <c r="G22" s="217"/>
      <c r="H22" s="218"/>
    </row>
    <row r="24" spans="1:13" x14ac:dyDescent="0.2">
      <c r="A24" s="322" t="s">
        <v>2169</v>
      </c>
      <c r="B24" s="323"/>
      <c r="C24" s="323"/>
      <c r="D24" s="323"/>
      <c r="E24" s="323"/>
      <c r="F24" s="323"/>
      <c r="G24" s="323"/>
      <c r="H24" s="323"/>
    </row>
    <row r="27" spans="1:13" x14ac:dyDescent="0.2">
      <c r="J27" s="43" t="s">
        <v>2389</v>
      </c>
    </row>
    <row r="28" spans="1:13" x14ac:dyDescent="0.2">
      <c r="J28" s="43" t="s">
        <v>2390</v>
      </c>
    </row>
    <row r="29" spans="1:13" x14ac:dyDescent="0.2">
      <c r="J29" s="552" t="s">
        <v>2388</v>
      </c>
      <c r="K29" s="552" t="s">
        <v>2387</v>
      </c>
      <c r="L29" s="552" t="s">
        <v>2386</v>
      </c>
    </row>
    <row r="30" spans="1:13" ht="16" x14ac:dyDescent="0.2">
      <c r="J30" s="54">
        <f>K30</f>
        <v>9.9981303892207052E-3</v>
      </c>
      <c r="K30" s="54">
        <f>L30</f>
        <v>9.9981303892207052E-3</v>
      </c>
      <c r="L30" s="203">
        <f>(1+12.68%)^(1/12)-1</f>
        <v>9.9981303892207052E-3</v>
      </c>
      <c r="M30" s="92" t="s">
        <v>87</v>
      </c>
    </row>
    <row r="31" spans="1:13" ht="16" x14ac:dyDescent="0.2">
      <c r="J31" s="47">
        <v>2</v>
      </c>
      <c r="K31" s="47">
        <v>2</v>
      </c>
      <c r="L31" s="47">
        <v>2</v>
      </c>
      <c r="M31" s="92" t="s">
        <v>89</v>
      </c>
    </row>
    <row r="32" spans="1:13" ht="16" x14ac:dyDescent="0.2">
      <c r="J32" s="555">
        <f>-K34</f>
        <v>-3277.5541099517886</v>
      </c>
      <c r="K32" s="330">
        <f>-L34</f>
        <v>-13064.987847529941</v>
      </c>
      <c r="L32" s="47">
        <v>0</v>
      </c>
      <c r="M32" s="92" t="s">
        <v>281</v>
      </c>
    </row>
    <row r="33" spans="1:13" ht="16" x14ac:dyDescent="0.2">
      <c r="J33" s="47">
        <f>-(11500*85%-5000)</f>
        <v>-4775</v>
      </c>
      <c r="K33" s="47">
        <v>5000</v>
      </c>
      <c r="L33" s="47">
        <f>-(11500-5000)</f>
        <v>-6500</v>
      </c>
      <c r="M33" s="92" t="s">
        <v>91</v>
      </c>
    </row>
    <row r="34" spans="1:13" ht="16" x14ac:dyDescent="0.2">
      <c r="J34" s="556">
        <f>FV(J30,J31,J33,J32,J35)</f>
        <v>12941.161642125811</v>
      </c>
      <c r="K34" s="555">
        <f>FV(K30,K31,K33,K32,K35)</f>
        <v>3277.5541099517886</v>
      </c>
      <c r="L34" s="554">
        <f>FV(L30,L31,L33,L32)</f>
        <v>13064.987847529941</v>
      </c>
      <c r="M34" s="92" t="s">
        <v>105</v>
      </c>
    </row>
    <row r="35" spans="1:13" ht="16" x14ac:dyDescent="0.2">
      <c r="J35" s="47">
        <v>0</v>
      </c>
      <c r="K35" s="47">
        <v>0</v>
      </c>
      <c r="L35" s="47">
        <v>0</v>
      </c>
      <c r="M35" s="92" t="s">
        <v>328</v>
      </c>
    </row>
    <row r="48" spans="1:13" x14ac:dyDescent="0.2">
      <c r="A48" s="322" t="s">
        <v>2170</v>
      </c>
      <c r="B48" s="323"/>
      <c r="C48" s="323"/>
      <c r="D48" s="323"/>
      <c r="E48" s="323"/>
      <c r="F48" s="323"/>
      <c r="G48" s="323"/>
      <c r="H48" s="323"/>
    </row>
    <row r="49" spans="1:1" x14ac:dyDescent="0.2">
      <c r="A49" s="43" t="s">
        <v>2171</v>
      </c>
    </row>
    <row r="50" spans="1:1" x14ac:dyDescent="0.2">
      <c r="A50" s="43" t="s">
        <v>2172</v>
      </c>
    </row>
    <row r="51" spans="1:1" x14ac:dyDescent="0.2">
      <c r="A51" s="43" t="s">
        <v>2173</v>
      </c>
    </row>
    <row r="52" spans="1:1" x14ac:dyDescent="0.2">
      <c r="A52" s="43" t="s">
        <v>2174</v>
      </c>
    </row>
    <row r="53" spans="1:1" x14ac:dyDescent="0.2">
      <c r="A53" s="43" t="s">
        <v>2175</v>
      </c>
    </row>
    <row r="54" spans="1:1" x14ac:dyDescent="0.2">
      <c r="A54" s="43" t="s">
        <v>2176</v>
      </c>
    </row>
    <row r="56" spans="1:1" x14ac:dyDescent="0.2">
      <c r="A56" s="43" t="s">
        <v>2177</v>
      </c>
    </row>
    <row r="57" spans="1:1" x14ac:dyDescent="0.2">
      <c r="A57" s="43" t="s">
        <v>2178</v>
      </c>
    </row>
    <row r="58" spans="1:1" x14ac:dyDescent="0.2">
      <c r="A58" s="43" t="s">
        <v>2179</v>
      </c>
    </row>
    <row r="59" spans="1:1" x14ac:dyDescent="0.2">
      <c r="A59" s="43" t="s">
        <v>2180</v>
      </c>
    </row>
    <row r="61" spans="1:1" x14ac:dyDescent="0.2">
      <c r="A61" s="43" t="s">
        <v>2181</v>
      </c>
    </row>
    <row r="62" spans="1:1" x14ac:dyDescent="0.2">
      <c r="A62" s="43" t="s">
        <v>2182</v>
      </c>
    </row>
    <row r="63" spans="1:1" x14ac:dyDescent="0.2">
      <c r="A63" s="43" t="s">
        <v>2183</v>
      </c>
    </row>
    <row r="65" spans="1:8" x14ac:dyDescent="0.2">
      <c r="C65" s="59" t="s">
        <v>2184</v>
      </c>
      <c r="D65" s="59" t="s">
        <v>2185</v>
      </c>
      <c r="E65" s="59" t="s">
        <v>2186</v>
      </c>
    </row>
    <row r="66" spans="1:8" ht="16" x14ac:dyDescent="0.2">
      <c r="C66" s="77">
        <f>D66</f>
        <v>0.01</v>
      </c>
      <c r="D66" s="77">
        <f>E66</f>
        <v>0.01</v>
      </c>
      <c r="E66" s="77">
        <v>0.01</v>
      </c>
      <c r="F66" s="92" t="s">
        <v>87</v>
      </c>
    </row>
    <row r="67" spans="1:8" ht="16" x14ac:dyDescent="0.2">
      <c r="C67" s="43">
        <v>2</v>
      </c>
      <c r="D67" s="43">
        <v>2</v>
      </c>
      <c r="E67" s="43">
        <v>2</v>
      </c>
      <c r="F67" s="92" t="s">
        <v>89</v>
      </c>
    </row>
    <row r="68" spans="1:8" ht="16" x14ac:dyDescent="0.2">
      <c r="C68" s="333">
        <f>-D70</f>
        <v>-3277.6064999999999</v>
      </c>
      <c r="D68" s="332">
        <f>-E70</f>
        <v>-13065.000000000004</v>
      </c>
      <c r="E68" s="43">
        <v>0</v>
      </c>
      <c r="F68" s="92" t="s">
        <v>281</v>
      </c>
    </row>
    <row r="69" spans="1:8" ht="17" thickBot="1" x14ac:dyDescent="0.25">
      <c r="C69" s="74">
        <f>-(11500*0.85-5000)</f>
        <v>-4775</v>
      </c>
      <c r="D69" s="74">
        <f>-(0-5000)</f>
        <v>5000</v>
      </c>
      <c r="E69" s="74">
        <f>-(11500-5000)</f>
        <v>-6500</v>
      </c>
      <c r="F69" s="92" t="s">
        <v>91</v>
      </c>
    </row>
    <row r="70" spans="1:8" ht="17" thickBot="1" x14ac:dyDescent="0.25">
      <c r="C70" s="334">
        <f t="shared" ref="C70:D70" si="0">FV(C66,C67,C69,C68)</f>
        <v>12941.236390650003</v>
      </c>
      <c r="D70" s="333">
        <f t="shared" si="0"/>
        <v>3277.6064999999999</v>
      </c>
      <c r="E70" s="332">
        <f>FV(E66,E67,E69,E68,E71)</f>
        <v>13065.000000000004</v>
      </c>
      <c r="F70" s="92" t="s">
        <v>105</v>
      </c>
    </row>
    <row r="71" spans="1:8" ht="16" x14ac:dyDescent="0.2">
      <c r="C71" s="43">
        <v>0</v>
      </c>
      <c r="D71" s="43">
        <v>0</v>
      </c>
      <c r="E71" s="43">
        <v>0</v>
      </c>
      <c r="F71" s="92" t="s">
        <v>328</v>
      </c>
    </row>
    <row r="73" spans="1:8" x14ac:dyDescent="0.2">
      <c r="A73" s="322" t="s">
        <v>2188</v>
      </c>
      <c r="B73" s="322"/>
      <c r="C73" s="322"/>
      <c r="D73" s="322"/>
      <c r="E73" s="322"/>
      <c r="F73" s="322"/>
      <c r="G73" s="322"/>
      <c r="H73" s="322"/>
    </row>
    <row r="82" spans="9:18" x14ac:dyDescent="0.2">
      <c r="I82" s="43" t="s">
        <v>611</v>
      </c>
      <c r="J82" s="557">
        <v>1000000</v>
      </c>
    </row>
    <row r="83" spans="9:18" x14ac:dyDescent="0.2">
      <c r="I83" s="43" t="s">
        <v>610</v>
      </c>
      <c r="K83" s="47"/>
    </row>
    <row r="84" spans="9:18" x14ac:dyDescent="0.2">
      <c r="J84" s="47">
        <v>0</v>
      </c>
      <c r="K84" s="558">
        <v>150000</v>
      </c>
      <c r="M84" s="47"/>
      <c r="N84" s="47"/>
      <c r="O84" s="47"/>
      <c r="P84" s="47"/>
      <c r="Q84" s="47"/>
    </row>
    <row r="85" spans="9:18" ht="16" x14ac:dyDescent="0.2">
      <c r="J85" s="47">
        <v>1</v>
      </c>
      <c r="K85" s="558">
        <v>0</v>
      </c>
      <c r="M85" s="64"/>
      <c r="N85" s="64"/>
      <c r="O85" s="64"/>
      <c r="P85" s="64"/>
      <c r="Q85" s="64"/>
      <c r="R85" s="92"/>
    </row>
    <row r="86" spans="9:18" ht="16" x14ac:dyDescent="0.2">
      <c r="J86" s="47">
        <f>J85+1</f>
        <v>2</v>
      </c>
      <c r="K86" s="558">
        <v>0</v>
      </c>
      <c r="R86" s="92"/>
    </row>
    <row r="87" spans="9:18" ht="16" x14ac:dyDescent="0.2">
      <c r="J87" s="47">
        <f t="shared" ref="J87:J95" si="1">J86+1</f>
        <v>3</v>
      </c>
      <c r="K87" s="558">
        <v>150000</v>
      </c>
      <c r="R87" s="92"/>
    </row>
    <row r="88" spans="9:18" ht="16" x14ac:dyDescent="0.2">
      <c r="J88" s="47">
        <f t="shared" si="1"/>
        <v>4</v>
      </c>
      <c r="K88" s="558">
        <v>0</v>
      </c>
      <c r="R88" s="92"/>
    </row>
    <row r="89" spans="9:18" ht="16" x14ac:dyDescent="0.2">
      <c r="J89" s="47">
        <f t="shared" si="1"/>
        <v>5</v>
      </c>
      <c r="K89" s="558">
        <v>0</v>
      </c>
      <c r="R89" s="92"/>
    </row>
    <row r="90" spans="9:18" ht="16" x14ac:dyDescent="0.2">
      <c r="J90" s="47">
        <f t="shared" si="1"/>
        <v>6</v>
      </c>
      <c r="K90" s="558">
        <v>0</v>
      </c>
      <c r="R90" s="92"/>
    </row>
    <row r="91" spans="9:18" x14ac:dyDescent="0.2">
      <c r="J91" s="47">
        <f t="shared" si="1"/>
        <v>7</v>
      </c>
      <c r="K91" s="558">
        <v>0</v>
      </c>
    </row>
    <row r="92" spans="9:18" x14ac:dyDescent="0.2">
      <c r="J92" s="47">
        <f t="shared" si="1"/>
        <v>8</v>
      </c>
      <c r="K92" s="558">
        <v>0</v>
      </c>
    </row>
    <row r="93" spans="9:18" x14ac:dyDescent="0.2">
      <c r="J93" s="47">
        <f>J92+1</f>
        <v>9</v>
      </c>
      <c r="K93" s="558">
        <v>350000</v>
      </c>
    </row>
    <row r="94" spans="9:18" x14ac:dyDescent="0.2">
      <c r="J94" s="47">
        <f t="shared" si="1"/>
        <v>10</v>
      </c>
      <c r="K94" s="558">
        <v>0</v>
      </c>
    </row>
    <row r="95" spans="9:18" x14ac:dyDescent="0.2">
      <c r="J95" s="47">
        <f t="shared" si="1"/>
        <v>11</v>
      </c>
      <c r="K95" s="558">
        <v>0</v>
      </c>
    </row>
    <row r="96" spans="9:18" x14ac:dyDescent="0.2">
      <c r="J96" s="47">
        <f>J95+1</f>
        <v>12</v>
      </c>
      <c r="K96" s="558">
        <v>400000</v>
      </c>
    </row>
    <row r="98" spans="1:12" x14ac:dyDescent="0.2">
      <c r="J98" s="47" t="s">
        <v>87</v>
      </c>
      <c r="K98" s="553">
        <f>(1+6.168%)^(1/12)-1</f>
        <v>5.0001726099697663E-3</v>
      </c>
    </row>
    <row r="100" spans="1:12" x14ac:dyDescent="0.2">
      <c r="K100" s="558">
        <f>NPV(K98,K85:K96)+K84</f>
        <v>1009169.7179833071</v>
      </c>
      <c r="L100" s="43" t="s">
        <v>1898</v>
      </c>
    </row>
    <row r="102" spans="1:12" ht="16" x14ac:dyDescent="0.2">
      <c r="I102" s="47" t="s">
        <v>1371</v>
      </c>
      <c r="K102" s="559">
        <v>6.1679999999999999E-2</v>
      </c>
      <c r="L102" s="92" t="s">
        <v>87</v>
      </c>
    </row>
    <row r="103" spans="1:12" ht="16" x14ac:dyDescent="0.2">
      <c r="A103" s="185"/>
      <c r="K103" s="47">
        <v>1</v>
      </c>
      <c r="L103" s="92" t="s">
        <v>89</v>
      </c>
    </row>
    <row r="104" spans="1:12" ht="16" x14ac:dyDescent="0.2">
      <c r="A104" s="322" t="s">
        <v>2189</v>
      </c>
      <c r="B104" s="322"/>
      <c r="C104" s="322"/>
      <c r="D104" s="322"/>
      <c r="E104" s="322"/>
      <c r="F104" s="322"/>
      <c r="G104" s="322"/>
      <c r="H104" s="322"/>
      <c r="K104" s="560">
        <f>PV(K102,K103,K105,K106)</f>
        <v>1036093.7382262076</v>
      </c>
      <c r="L104" s="92" t="s">
        <v>281</v>
      </c>
    </row>
    <row r="105" spans="1:12" ht="16" x14ac:dyDescent="0.2">
      <c r="A105" s="74" t="s">
        <v>2190</v>
      </c>
      <c r="B105" s="74"/>
      <c r="C105" s="74"/>
      <c r="D105" s="74"/>
      <c r="E105" s="74"/>
      <c r="F105" s="74"/>
      <c r="G105" s="74"/>
      <c r="H105" s="74"/>
      <c r="K105" s="47">
        <v>0</v>
      </c>
      <c r="L105" s="92" t="s">
        <v>91</v>
      </c>
    </row>
    <row r="106" spans="1:12" ht="16" x14ac:dyDescent="0.2">
      <c r="A106" s="74" t="s">
        <v>2191</v>
      </c>
      <c r="B106" s="74"/>
      <c r="C106" s="74"/>
      <c r="D106" s="74"/>
      <c r="E106" s="74"/>
      <c r="F106" s="74"/>
      <c r="G106" s="74"/>
      <c r="H106" s="74"/>
      <c r="K106" s="47">
        <v>-1100000</v>
      </c>
      <c r="L106" s="92" t="s">
        <v>105</v>
      </c>
    </row>
    <row r="107" spans="1:12" ht="16" x14ac:dyDescent="0.2">
      <c r="A107" s="74" t="s">
        <v>2192</v>
      </c>
      <c r="B107" s="74"/>
      <c r="C107" s="74"/>
      <c r="D107" s="74"/>
      <c r="E107" s="74"/>
      <c r="F107" s="74"/>
      <c r="G107" s="74"/>
      <c r="H107" s="74"/>
      <c r="K107" s="47">
        <v>0</v>
      </c>
      <c r="L107" s="92" t="s">
        <v>328</v>
      </c>
    </row>
    <row r="108" spans="1:12" x14ac:dyDescent="0.2">
      <c r="A108" s="74" t="s">
        <v>2193</v>
      </c>
      <c r="B108" s="74"/>
      <c r="C108" s="74"/>
      <c r="D108" s="74"/>
      <c r="E108" s="74"/>
      <c r="F108" s="74"/>
      <c r="G108" s="74"/>
      <c r="H108" s="74"/>
    </row>
    <row r="109" spans="1:12" x14ac:dyDescent="0.2">
      <c r="A109" s="74" t="s">
        <v>2194</v>
      </c>
      <c r="B109" s="74"/>
      <c r="C109" s="74"/>
      <c r="D109" s="74"/>
      <c r="E109" s="74"/>
      <c r="F109" s="74"/>
      <c r="G109" s="74"/>
      <c r="H109" s="74"/>
    </row>
    <row r="110" spans="1:12" x14ac:dyDescent="0.2">
      <c r="A110" s="74" t="s">
        <v>2195</v>
      </c>
      <c r="B110" s="74"/>
      <c r="C110" s="74"/>
      <c r="D110" s="74"/>
      <c r="E110" s="74"/>
      <c r="F110" s="74"/>
      <c r="G110" s="74"/>
      <c r="H110" s="74"/>
    </row>
    <row r="111" spans="1:12" x14ac:dyDescent="0.2">
      <c r="A111" s="74"/>
      <c r="B111" s="74"/>
      <c r="C111" s="74"/>
      <c r="D111" s="74"/>
      <c r="E111" s="74"/>
      <c r="F111" s="74"/>
      <c r="G111" s="74"/>
      <c r="H111" s="74"/>
    </row>
    <row r="112" spans="1:12" x14ac:dyDescent="0.2">
      <c r="A112" s="74"/>
      <c r="B112" s="74"/>
      <c r="C112" s="74"/>
      <c r="D112" s="74"/>
      <c r="E112" s="74"/>
      <c r="F112" s="74"/>
      <c r="G112" s="74"/>
      <c r="H112" s="74"/>
    </row>
    <row r="113" spans="1:8" x14ac:dyDescent="0.2">
      <c r="A113" s="74"/>
      <c r="B113" s="327" t="s">
        <v>1371</v>
      </c>
      <c r="C113" s="326" t="s">
        <v>610</v>
      </c>
      <c r="D113" s="325" t="s">
        <v>611</v>
      </c>
      <c r="E113" s="60" t="s">
        <v>2196</v>
      </c>
      <c r="F113" s="74"/>
      <c r="G113" s="74"/>
      <c r="H113" s="74"/>
    </row>
    <row r="114" spans="1:8" x14ac:dyDescent="0.2">
      <c r="A114" s="74"/>
      <c r="B114" s="48">
        <v>0</v>
      </c>
      <c r="C114" s="48">
        <v>-150000</v>
      </c>
      <c r="D114" s="48">
        <v>-1000000</v>
      </c>
      <c r="E114" s="48">
        <v>0</v>
      </c>
      <c r="F114" s="74"/>
      <c r="G114" s="74"/>
      <c r="H114" s="74"/>
    </row>
    <row r="115" spans="1:8" x14ac:dyDescent="0.2">
      <c r="A115" s="74"/>
      <c r="B115" s="48">
        <v>0</v>
      </c>
      <c r="C115" s="48">
        <v>0</v>
      </c>
      <c r="D115" s="48"/>
      <c r="E115" s="48">
        <v>1</v>
      </c>
      <c r="F115" s="74"/>
      <c r="G115" s="74"/>
      <c r="H115" s="74"/>
    </row>
    <row r="116" spans="1:8" x14ac:dyDescent="0.2">
      <c r="A116" s="74"/>
      <c r="B116" s="48">
        <v>0</v>
      </c>
      <c r="C116" s="48">
        <v>0</v>
      </c>
      <c r="D116" s="48"/>
      <c r="E116" s="48">
        <v>2</v>
      </c>
      <c r="F116" s="74"/>
      <c r="G116" s="74"/>
      <c r="H116" s="74"/>
    </row>
    <row r="117" spans="1:8" x14ac:dyDescent="0.2">
      <c r="A117" s="74"/>
      <c r="B117" s="48">
        <v>0</v>
      </c>
      <c r="C117" s="48">
        <v>-150000</v>
      </c>
      <c r="D117" s="48"/>
      <c r="E117" s="48">
        <v>3</v>
      </c>
      <c r="F117" s="74"/>
      <c r="G117" s="74"/>
      <c r="H117" s="74"/>
    </row>
    <row r="118" spans="1:8" x14ac:dyDescent="0.2">
      <c r="A118" s="74"/>
      <c r="B118" s="48">
        <v>0</v>
      </c>
      <c r="C118" s="48">
        <v>0</v>
      </c>
      <c r="D118" s="48"/>
      <c r="E118" s="48">
        <v>4</v>
      </c>
      <c r="F118" s="74"/>
      <c r="G118" s="74"/>
      <c r="H118" s="74"/>
    </row>
    <row r="119" spans="1:8" x14ac:dyDescent="0.2">
      <c r="A119" s="74"/>
      <c r="B119" s="48">
        <v>0</v>
      </c>
      <c r="C119" s="48">
        <v>0</v>
      </c>
      <c r="D119" s="48"/>
      <c r="E119" s="48">
        <v>5</v>
      </c>
      <c r="F119" s="74"/>
      <c r="G119" s="74"/>
      <c r="H119" s="74"/>
    </row>
    <row r="120" spans="1:8" x14ac:dyDescent="0.2">
      <c r="A120" s="74"/>
      <c r="B120" s="48">
        <v>0</v>
      </c>
      <c r="C120" s="48">
        <v>0</v>
      </c>
      <c r="D120" s="48"/>
      <c r="E120" s="48">
        <v>6</v>
      </c>
      <c r="F120" s="74"/>
      <c r="G120" s="74"/>
      <c r="H120" s="74"/>
    </row>
    <row r="121" spans="1:8" x14ac:dyDescent="0.2">
      <c r="A121" s="74"/>
      <c r="B121" s="48">
        <v>0</v>
      </c>
      <c r="C121" s="48">
        <v>0</v>
      </c>
      <c r="D121" s="48"/>
      <c r="E121" s="48">
        <v>7</v>
      </c>
      <c r="F121" s="74"/>
      <c r="G121" s="74"/>
      <c r="H121" s="74"/>
    </row>
    <row r="122" spans="1:8" x14ac:dyDescent="0.2">
      <c r="A122" s="74"/>
      <c r="B122" s="48">
        <v>0</v>
      </c>
      <c r="C122" s="48">
        <v>0</v>
      </c>
      <c r="D122" s="48"/>
      <c r="E122" s="48">
        <v>8</v>
      </c>
      <c r="F122" s="74"/>
      <c r="G122" s="74"/>
      <c r="H122" s="74"/>
    </row>
    <row r="123" spans="1:8" x14ac:dyDescent="0.2">
      <c r="A123" s="74"/>
      <c r="B123" s="48">
        <v>0</v>
      </c>
      <c r="C123" s="48">
        <v>-350000</v>
      </c>
      <c r="D123" s="48"/>
      <c r="E123" s="48">
        <v>9</v>
      </c>
      <c r="F123" s="74"/>
      <c r="G123" s="74"/>
      <c r="H123" s="74"/>
    </row>
    <row r="124" spans="1:8" x14ac:dyDescent="0.2">
      <c r="A124" s="74"/>
      <c r="B124" s="48">
        <v>0</v>
      </c>
      <c r="C124" s="48">
        <v>0</v>
      </c>
      <c r="D124" s="48"/>
      <c r="E124" s="48">
        <v>10</v>
      </c>
      <c r="F124" s="74"/>
      <c r="G124" s="74"/>
      <c r="H124" s="74"/>
    </row>
    <row r="125" spans="1:8" x14ac:dyDescent="0.2">
      <c r="A125" s="74"/>
      <c r="B125" s="48">
        <v>0</v>
      </c>
      <c r="C125" s="48">
        <v>0</v>
      </c>
      <c r="D125" s="48"/>
      <c r="E125" s="48">
        <v>11</v>
      </c>
      <c r="F125" s="74"/>
      <c r="G125" s="74"/>
      <c r="H125" s="74"/>
    </row>
    <row r="126" spans="1:8" x14ac:dyDescent="0.2">
      <c r="A126" s="74"/>
      <c r="B126" s="48">
        <v>-1100000</v>
      </c>
      <c r="C126" s="48">
        <v>-400000</v>
      </c>
      <c r="D126" s="48"/>
      <c r="E126" s="48">
        <v>12</v>
      </c>
      <c r="F126" s="74"/>
      <c r="G126" s="74"/>
      <c r="H126" s="74"/>
    </row>
    <row r="127" spans="1:8" x14ac:dyDescent="0.2">
      <c r="A127" s="74"/>
      <c r="B127" s="74"/>
      <c r="C127" s="74"/>
      <c r="D127" s="74"/>
      <c r="E127" s="74"/>
      <c r="F127" s="74"/>
      <c r="G127" s="74"/>
      <c r="H127" s="74"/>
    </row>
    <row r="128" spans="1:8" x14ac:dyDescent="0.2">
      <c r="A128" s="74"/>
      <c r="B128" s="328">
        <f>NPV($E$134,B115:B126)+B114</f>
        <v>-1036095.8736325111</v>
      </c>
      <c r="C128" s="150">
        <f>NPV($E$134,C115:C126)+C114</f>
        <v>-1009171.0879026818</v>
      </c>
      <c r="D128" s="324">
        <f>NPV($E$134,D115:D126)+D114</f>
        <v>-1000000</v>
      </c>
      <c r="E128" s="43" t="s">
        <v>2197</v>
      </c>
    </row>
    <row r="129" spans="1:12" x14ac:dyDescent="0.2">
      <c r="B129" s="47" t="s">
        <v>2198</v>
      </c>
      <c r="C129" s="47" t="s">
        <v>2199</v>
      </c>
      <c r="D129" s="47" t="s">
        <v>2200</v>
      </c>
    </row>
    <row r="130" spans="1:12" x14ac:dyDescent="0.2">
      <c r="B130" s="47" t="s">
        <v>2201</v>
      </c>
      <c r="C130" s="47"/>
      <c r="D130" s="47"/>
    </row>
    <row r="131" spans="1:12" ht="16" thickBot="1" x14ac:dyDescent="0.25">
      <c r="B131" s="47"/>
    </row>
    <row r="132" spans="1:12" ht="22" thickBot="1" x14ac:dyDescent="0.3">
      <c r="A132" s="319" t="s">
        <v>2202</v>
      </c>
      <c r="C132" s="329">
        <f>B128-D128</f>
        <v>-36095.873632511124</v>
      </c>
    </row>
    <row r="133" spans="1:12" x14ac:dyDescent="0.2">
      <c r="B133" s="47"/>
    </row>
    <row r="134" spans="1:12" x14ac:dyDescent="0.2">
      <c r="A134" s="43" t="s">
        <v>2203</v>
      </c>
      <c r="B134" s="47"/>
      <c r="E134" s="161">
        <v>5.0000000000000001E-3</v>
      </c>
      <c r="G134" s="43" t="s">
        <v>2204</v>
      </c>
    </row>
    <row r="135" spans="1:12" x14ac:dyDescent="0.2">
      <c r="A135" s="74"/>
      <c r="B135" s="47"/>
    </row>
    <row r="136" spans="1:12" x14ac:dyDescent="0.2">
      <c r="A136" s="322" t="s">
        <v>2205</v>
      </c>
      <c r="B136" s="322"/>
      <c r="C136" s="322"/>
      <c r="D136" s="322"/>
      <c r="E136" s="322"/>
      <c r="F136" s="322"/>
      <c r="G136" s="322"/>
      <c r="H136" s="322"/>
      <c r="J136" s="564" t="s">
        <v>2421</v>
      </c>
      <c r="K136" s="564"/>
      <c r="L136" s="564"/>
    </row>
    <row r="138" spans="1:12" x14ac:dyDescent="0.2">
      <c r="A138" s="44"/>
    </row>
    <row r="139" spans="1:12" x14ac:dyDescent="0.2">
      <c r="A139" s="74"/>
      <c r="B139" s="47"/>
    </row>
    <row r="140" spans="1:12" x14ac:dyDescent="0.2">
      <c r="A140" s="74"/>
      <c r="B140" s="47"/>
    </row>
    <row r="147" spans="1:29" x14ac:dyDescent="0.2">
      <c r="U147" s="562">
        <f>NPV(U148,U150:U166)*(1+12.69%)^(1/12)</f>
        <v>285005.14977651188</v>
      </c>
      <c r="V147" s="43" t="s">
        <v>728</v>
      </c>
      <c r="W147" s="563" t="s">
        <v>2412</v>
      </c>
      <c r="X147" s="563"/>
      <c r="AB147" s="59" t="s">
        <v>2409</v>
      </c>
      <c r="AC147" s="59"/>
    </row>
    <row r="148" spans="1:29" ht="16" x14ac:dyDescent="0.2">
      <c r="S148" s="288" t="s">
        <v>2393</v>
      </c>
      <c r="U148" s="288">
        <f>(1+12.69%)^(2/12)-1</f>
        <v>2.0111311227025475E-2</v>
      </c>
      <c r="V148" s="288"/>
      <c r="AB148" s="559">
        <f>U148</f>
        <v>2.0111311227025475E-2</v>
      </c>
      <c r="AC148" s="92" t="s">
        <v>87</v>
      </c>
    </row>
    <row r="149" spans="1:29" ht="16" x14ac:dyDescent="0.2">
      <c r="S149" s="43" t="s">
        <v>1134</v>
      </c>
      <c r="T149" s="29">
        <v>1.4</v>
      </c>
      <c r="U149" s="29"/>
      <c r="V149" s="288"/>
      <c r="W149" s="43" t="s">
        <v>2394</v>
      </c>
      <c r="AB149" s="47">
        <v>17</v>
      </c>
      <c r="AC149" s="92" t="s">
        <v>89</v>
      </c>
    </row>
    <row r="150" spans="1:29" ht="16" x14ac:dyDescent="0.2">
      <c r="S150" s="47"/>
      <c r="T150" s="29">
        <v>30.4</v>
      </c>
      <c r="U150" s="29">
        <v>20000</v>
      </c>
      <c r="V150" s="441"/>
      <c r="W150" s="43" t="s">
        <v>2395</v>
      </c>
      <c r="AB150" s="560">
        <f>PV(AB148,AB149,AB151,AB152)</f>
        <v>-285571.67567212071</v>
      </c>
      <c r="AC150" s="92" t="s">
        <v>281</v>
      </c>
    </row>
    <row r="151" spans="1:29" ht="16" x14ac:dyDescent="0.2">
      <c r="A151" s="322" t="s">
        <v>2206</v>
      </c>
      <c r="B151" s="322"/>
      <c r="C151" s="322"/>
      <c r="D151" s="322"/>
      <c r="E151" s="322"/>
      <c r="F151" s="322"/>
      <c r="G151" s="322"/>
      <c r="H151" s="322"/>
      <c r="S151" s="541" t="s">
        <v>2392</v>
      </c>
      <c r="T151" s="29">
        <v>30.6</v>
      </c>
      <c r="U151" s="29">
        <v>20000</v>
      </c>
      <c r="V151" s="441"/>
      <c r="W151" s="43" t="s">
        <v>2396</v>
      </c>
      <c r="AB151" s="47">
        <v>20000</v>
      </c>
      <c r="AC151" s="92" t="s">
        <v>91</v>
      </c>
    </row>
    <row r="152" spans="1:29" ht="16" x14ac:dyDescent="0.2">
      <c r="S152" s="47"/>
      <c r="T152" s="29">
        <v>30.8</v>
      </c>
      <c r="U152" s="29">
        <v>20000</v>
      </c>
      <c r="V152" s="441"/>
      <c r="W152" s="43" t="s">
        <v>2397</v>
      </c>
      <c r="AB152" s="47">
        <v>0</v>
      </c>
      <c r="AC152" s="92" t="s">
        <v>105</v>
      </c>
    </row>
    <row r="153" spans="1:29" ht="16" x14ac:dyDescent="0.2">
      <c r="A153" s="43" t="s">
        <v>2207</v>
      </c>
      <c r="S153" s="47"/>
      <c r="T153" s="561" t="s">
        <v>2391</v>
      </c>
      <c r="U153" s="29">
        <v>20000</v>
      </c>
      <c r="V153" s="441"/>
      <c r="W153" s="43" t="s">
        <v>2398</v>
      </c>
      <c r="AB153" s="47">
        <v>0</v>
      </c>
      <c r="AC153" s="92" t="s">
        <v>328</v>
      </c>
    </row>
    <row r="154" spans="1:29" x14ac:dyDescent="0.2">
      <c r="A154" s="43" t="s">
        <v>2208</v>
      </c>
      <c r="S154" s="47">
        <v>2019</v>
      </c>
      <c r="T154" s="29">
        <v>31.12</v>
      </c>
      <c r="U154" s="29">
        <f>20000-1400</f>
        <v>18600</v>
      </c>
      <c r="V154" s="441">
        <v>-1400</v>
      </c>
      <c r="W154" s="43" t="s">
        <v>2399</v>
      </c>
    </row>
    <row r="155" spans="1:29" x14ac:dyDescent="0.2">
      <c r="A155" s="43" t="s">
        <v>2209</v>
      </c>
      <c r="F155" s="151">
        <f>1.06^2-1</f>
        <v>0.12360000000000015</v>
      </c>
      <c r="H155" s="43" t="s">
        <v>2210</v>
      </c>
      <c r="S155" s="47"/>
      <c r="T155" s="29">
        <v>28.2</v>
      </c>
      <c r="U155" s="29">
        <v>20000</v>
      </c>
      <c r="V155" s="441"/>
      <c r="W155" s="43" t="s">
        <v>2400</v>
      </c>
      <c r="AB155" s="43">
        <f>ABS(AB150)*(1+AB148)^0.5</f>
        <v>288428.99151651585</v>
      </c>
      <c r="AC155" s="43" t="s">
        <v>2408</v>
      </c>
    </row>
    <row r="156" spans="1:29" x14ac:dyDescent="0.2">
      <c r="S156" s="47"/>
      <c r="T156" s="29">
        <v>30.4</v>
      </c>
      <c r="U156" s="29">
        <v>20000</v>
      </c>
      <c r="V156" s="441"/>
      <c r="W156" s="43" t="s">
        <v>2401</v>
      </c>
    </row>
    <row r="157" spans="1:29" x14ac:dyDescent="0.2">
      <c r="A157" s="43" t="s">
        <v>2211</v>
      </c>
      <c r="S157" s="47"/>
      <c r="T157" s="29">
        <v>30.6</v>
      </c>
      <c r="U157" s="29">
        <v>20000</v>
      </c>
      <c r="V157" s="441"/>
      <c r="W157" s="43" t="s">
        <v>2402</v>
      </c>
      <c r="AB157" s="59" t="s">
        <v>2410</v>
      </c>
      <c r="AC157" s="59"/>
    </row>
    <row r="158" spans="1:29" ht="16" x14ac:dyDescent="0.2">
      <c r="A158" s="43" t="s">
        <v>2212</v>
      </c>
      <c r="S158" s="47"/>
      <c r="T158" s="29">
        <v>30.8</v>
      </c>
      <c r="U158" s="29">
        <v>20000</v>
      </c>
      <c r="V158" s="441"/>
      <c r="W158" s="43" t="s">
        <v>2403</v>
      </c>
      <c r="AB158" s="559">
        <v>0.12690000000000001</v>
      </c>
      <c r="AC158" s="92" t="s">
        <v>87</v>
      </c>
    </row>
    <row r="159" spans="1:29" ht="16" x14ac:dyDescent="0.2">
      <c r="A159" s="43" t="s">
        <v>2213</v>
      </c>
      <c r="S159" s="47"/>
      <c r="T159" s="561" t="s">
        <v>2391</v>
      </c>
      <c r="U159" s="29">
        <v>20000</v>
      </c>
      <c r="V159" s="441"/>
      <c r="W159" s="43" t="s">
        <v>2404</v>
      </c>
      <c r="AB159" s="47">
        <v>3</v>
      </c>
      <c r="AC159" s="92" t="s">
        <v>89</v>
      </c>
    </row>
    <row r="160" spans="1:29" ht="16" x14ac:dyDescent="0.2">
      <c r="A160" s="43" t="s">
        <v>2214</v>
      </c>
      <c r="S160" s="47">
        <v>2020</v>
      </c>
      <c r="T160" s="29">
        <v>31.12</v>
      </c>
      <c r="U160" s="29">
        <f>20000-1400</f>
        <v>18600</v>
      </c>
      <c r="V160" s="441">
        <v>-1400</v>
      </c>
      <c r="W160" s="43" t="s">
        <v>2405</v>
      </c>
      <c r="AB160" s="560">
        <f>PV(AB158,AB159,AB161,AB162)</f>
        <v>3323.0917893448377</v>
      </c>
      <c r="AC160" s="92" t="s">
        <v>281</v>
      </c>
    </row>
    <row r="161" spans="1:29" ht="16" x14ac:dyDescent="0.2">
      <c r="C161" s="59" t="s">
        <v>2215</v>
      </c>
      <c r="D161" s="59" t="s">
        <v>2216</v>
      </c>
      <c r="S161" s="47"/>
      <c r="T161" s="29">
        <v>28.2</v>
      </c>
      <c r="U161" s="29">
        <v>20000</v>
      </c>
      <c r="V161" s="441"/>
      <c r="W161" s="43" t="s">
        <v>2406</v>
      </c>
      <c r="AB161" s="47">
        <v>-1400</v>
      </c>
      <c r="AC161" s="92" t="s">
        <v>91</v>
      </c>
    </row>
    <row r="162" spans="1:29" ht="16" x14ac:dyDescent="0.2">
      <c r="C162" s="77">
        <v>0.06</v>
      </c>
      <c r="D162" s="161">
        <f>F155</f>
        <v>0.12360000000000015</v>
      </c>
      <c r="E162" s="92" t="s">
        <v>87</v>
      </c>
      <c r="S162" s="47"/>
      <c r="T162" s="29">
        <v>30.4</v>
      </c>
      <c r="U162" s="29">
        <v>20000</v>
      </c>
      <c r="V162" s="441"/>
      <c r="W162" s="43" t="s">
        <v>2407</v>
      </c>
      <c r="AB162" s="47">
        <v>0</v>
      </c>
      <c r="AC162" s="92" t="s">
        <v>105</v>
      </c>
    </row>
    <row r="163" spans="1:29" ht="16" x14ac:dyDescent="0.2">
      <c r="C163" s="43">
        <v>1</v>
      </c>
      <c r="D163" s="43">
        <v>4</v>
      </c>
      <c r="E163" s="92" t="s">
        <v>89</v>
      </c>
      <c r="S163" s="47"/>
      <c r="T163" s="29">
        <v>30.6</v>
      </c>
      <c r="U163" s="29">
        <v>20000</v>
      </c>
      <c r="V163" s="441"/>
      <c r="AB163" s="47">
        <v>0</v>
      </c>
      <c r="AC163" s="92" t="s">
        <v>328</v>
      </c>
    </row>
    <row r="164" spans="1:29" ht="16" x14ac:dyDescent="0.2">
      <c r="C164" s="335">
        <f>-D164</f>
        <v>-2411.5704120270098</v>
      </c>
      <c r="D164" s="335">
        <f>PV(D162,D163,D165,D166,D167)</f>
        <v>2411.5704120270098</v>
      </c>
      <c r="E164" s="92" t="s">
        <v>281</v>
      </c>
      <c r="S164" s="47"/>
      <c r="T164" s="29">
        <v>30.8</v>
      </c>
      <c r="U164" s="29">
        <v>20000</v>
      </c>
      <c r="V164" s="441"/>
    </row>
    <row r="165" spans="1:29" ht="16" x14ac:dyDescent="0.2">
      <c r="C165" s="43">
        <v>0</v>
      </c>
      <c r="D165" s="74">
        <v>-800</v>
      </c>
      <c r="E165" s="92" t="s">
        <v>91</v>
      </c>
      <c r="S165" s="47"/>
      <c r="T165" s="561" t="s">
        <v>2391</v>
      </c>
      <c r="U165" s="29">
        <v>20000</v>
      </c>
      <c r="V165" s="441"/>
      <c r="AB165" s="43">
        <f>-AB160*(1+12.69%)^(3/12)</f>
        <v>-3423.8417400038034</v>
      </c>
      <c r="AC165" s="43" t="s">
        <v>2408</v>
      </c>
    </row>
    <row r="166" spans="1:29" ht="16" x14ac:dyDescent="0.2">
      <c r="C166" s="331">
        <f>FV(C162,C163,C165,C164,C167)</f>
        <v>2556.2646367486304</v>
      </c>
      <c r="D166" s="74">
        <v>0</v>
      </c>
      <c r="E166" s="92" t="s">
        <v>105</v>
      </c>
      <c r="S166" s="47">
        <v>2021</v>
      </c>
      <c r="T166" s="29">
        <v>31.12</v>
      </c>
      <c r="U166" s="29">
        <f>20000-1400</f>
        <v>18600</v>
      </c>
      <c r="V166" s="441">
        <v>-1400</v>
      </c>
    </row>
    <row r="167" spans="1:29" ht="16" x14ac:dyDescent="0.2">
      <c r="C167" s="74">
        <v>0</v>
      </c>
      <c r="D167" s="43">
        <v>0</v>
      </c>
      <c r="E167" s="92" t="s">
        <v>328</v>
      </c>
      <c r="U167" s="441"/>
      <c r="V167" s="441"/>
      <c r="AB167" s="43">
        <f>AB155+AB165</f>
        <v>285005.14977651206</v>
      </c>
      <c r="AC167" s="43" t="s">
        <v>2411</v>
      </c>
    </row>
    <row r="169" spans="1:29" x14ac:dyDescent="0.2">
      <c r="A169" s="43" t="s">
        <v>2217</v>
      </c>
      <c r="W169" s="563" t="s">
        <v>2413</v>
      </c>
      <c r="X169" s="563"/>
    </row>
    <row r="170" spans="1:29" x14ac:dyDescent="0.2">
      <c r="D170" s="59" t="s">
        <v>828</v>
      </c>
      <c r="E170" s="59" t="s">
        <v>2218</v>
      </c>
      <c r="W170" s="43" t="s">
        <v>2414</v>
      </c>
    </row>
    <row r="171" spans="1:29" x14ac:dyDescent="0.2">
      <c r="D171" s="43">
        <v>0</v>
      </c>
      <c r="E171" s="43">
        <v>0</v>
      </c>
      <c r="W171" s="43" t="s">
        <v>2415</v>
      </c>
    </row>
    <row r="172" spans="1:29" x14ac:dyDescent="0.2">
      <c r="D172" s="43">
        <v>-800</v>
      </c>
      <c r="E172" s="43">
        <v>1</v>
      </c>
      <c r="W172" s="43" t="s">
        <v>2416</v>
      </c>
    </row>
    <row r="173" spans="1:29" x14ac:dyDescent="0.2">
      <c r="D173" s="43">
        <v>0</v>
      </c>
      <c r="E173" s="43">
        <v>2</v>
      </c>
      <c r="W173" s="43" t="s">
        <v>2417</v>
      </c>
    </row>
    <row r="174" spans="1:29" x14ac:dyDescent="0.2">
      <c r="D174" s="43">
        <v>-800</v>
      </c>
      <c r="E174" s="43">
        <v>3</v>
      </c>
      <c r="W174" s="43" t="s">
        <v>2418</v>
      </c>
    </row>
    <row r="175" spans="1:29" x14ac:dyDescent="0.2">
      <c r="D175" s="43">
        <v>0</v>
      </c>
      <c r="E175" s="43">
        <v>4</v>
      </c>
      <c r="W175" s="43" t="s">
        <v>2419</v>
      </c>
    </row>
    <row r="176" spans="1:29" x14ac:dyDescent="0.2">
      <c r="D176" s="43">
        <v>-800</v>
      </c>
      <c r="E176" s="43">
        <v>5</v>
      </c>
      <c r="W176" s="43" t="s">
        <v>2420</v>
      </c>
    </row>
    <row r="177" spans="1:8" x14ac:dyDescent="0.2">
      <c r="D177" s="43">
        <v>0</v>
      </c>
      <c r="E177" s="43">
        <v>6</v>
      </c>
    </row>
    <row r="178" spans="1:8" x14ac:dyDescent="0.2">
      <c r="D178" s="43">
        <v>-800</v>
      </c>
      <c r="E178" s="43">
        <v>7</v>
      </c>
    </row>
    <row r="180" spans="1:8" x14ac:dyDescent="0.2">
      <c r="A180" s="44" t="s">
        <v>2219</v>
      </c>
      <c r="D180" s="331">
        <f>NPV(C162,D172:D178)+D171</f>
        <v>-2556.2646367486313</v>
      </c>
      <c r="E180" s="43" t="s">
        <v>2197</v>
      </c>
    </row>
    <row r="185" spans="1:8" x14ac:dyDescent="0.2">
      <c r="A185" s="322" t="s">
        <v>2220</v>
      </c>
      <c r="B185" s="322"/>
      <c r="C185" s="322"/>
      <c r="D185" s="322"/>
      <c r="E185" s="322"/>
      <c r="F185" s="322"/>
      <c r="G185" s="322"/>
      <c r="H185" s="322"/>
    </row>
    <row r="203" spans="1:8" x14ac:dyDescent="0.2">
      <c r="A203" s="322" t="s">
        <v>2221</v>
      </c>
      <c r="B203" s="323"/>
      <c r="C203" s="323"/>
      <c r="D203" s="323"/>
      <c r="E203" s="323"/>
      <c r="F203" s="323"/>
      <c r="G203" s="323"/>
      <c r="H203" s="323"/>
    </row>
    <row r="205" spans="1:8" x14ac:dyDescent="0.2">
      <c r="A205" s="43" t="s">
        <v>2222</v>
      </c>
    </row>
    <row r="206" spans="1:8" x14ac:dyDescent="0.2">
      <c r="A206" s="43" t="s">
        <v>2223</v>
      </c>
    </row>
    <row r="208" spans="1:8" x14ac:dyDescent="0.2">
      <c r="B208" s="59" t="s">
        <v>2224</v>
      </c>
      <c r="C208" s="59" t="s">
        <v>450</v>
      </c>
      <c r="D208" s="59" t="s">
        <v>2225</v>
      </c>
    </row>
    <row r="209" spans="1:8" ht="16" x14ac:dyDescent="0.2">
      <c r="B209" s="77">
        <v>0.03</v>
      </c>
      <c r="C209" s="77">
        <v>0.01</v>
      </c>
      <c r="D209" s="77">
        <v>0.02</v>
      </c>
      <c r="E209" s="92" t="s">
        <v>87</v>
      </c>
    </row>
    <row r="210" spans="1:8" ht="16" x14ac:dyDescent="0.2">
      <c r="B210" s="43">
        <v>8</v>
      </c>
      <c r="C210" s="43">
        <v>4</v>
      </c>
      <c r="D210" s="43">
        <v>8</v>
      </c>
      <c r="E210" s="92" t="s">
        <v>89</v>
      </c>
    </row>
    <row r="211" spans="1:8" ht="16" x14ac:dyDescent="0.2">
      <c r="B211" s="336">
        <f>-C213</f>
        <v>48769.338009003019</v>
      </c>
      <c r="C211" s="335">
        <f>-D213</f>
        <v>46866.375240090623</v>
      </c>
      <c r="D211" s="74">
        <v>40000</v>
      </c>
      <c r="E211" s="92" t="s">
        <v>281</v>
      </c>
    </row>
    <row r="212" spans="1:8" ht="16" x14ac:dyDescent="0.2">
      <c r="B212" s="43">
        <f>C212</f>
        <v>0</v>
      </c>
      <c r="C212" s="43">
        <f>D212</f>
        <v>0</v>
      </c>
      <c r="D212" s="43">
        <v>0</v>
      </c>
      <c r="E212" s="92" t="s">
        <v>91</v>
      </c>
    </row>
    <row r="213" spans="1:8" ht="16" x14ac:dyDescent="0.2">
      <c r="B213" s="330">
        <f t="shared" ref="B213:C213" si="2">FV(B209,B210,B212,B211,B214)</f>
        <v>-61779.538278884902</v>
      </c>
      <c r="C213" s="336">
        <f t="shared" si="2"/>
        <v>-48769.338009003019</v>
      </c>
      <c r="D213" s="335">
        <f>FV(D209,D210,D212,D211,D214)</f>
        <v>-46866.375240090623</v>
      </c>
      <c r="E213" s="92" t="s">
        <v>105</v>
      </c>
    </row>
    <row r="214" spans="1:8" ht="16" x14ac:dyDescent="0.2">
      <c r="B214" s="43">
        <v>0</v>
      </c>
      <c r="C214" s="43">
        <v>0</v>
      </c>
      <c r="D214" s="43">
        <v>0</v>
      </c>
      <c r="E214" s="92" t="s">
        <v>328</v>
      </c>
    </row>
    <row r="215" spans="1:8" ht="16" x14ac:dyDescent="0.2">
      <c r="E215" s="92"/>
    </row>
    <row r="216" spans="1:8" ht="16" thickBot="1" x14ac:dyDescent="0.25">
      <c r="A216" s="44" t="s">
        <v>2187</v>
      </c>
    </row>
    <row r="217" spans="1:8" x14ac:dyDescent="0.2">
      <c r="A217" s="321"/>
      <c r="B217" s="212"/>
      <c r="C217" s="212"/>
      <c r="D217" s="212"/>
      <c r="E217" s="212"/>
      <c r="F217" s="212"/>
      <c r="G217" s="212"/>
      <c r="H217" s="213"/>
    </row>
    <row r="218" spans="1:8" x14ac:dyDescent="0.2">
      <c r="A218" s="320"/>
      <c r="H218" s="215"/>
    </row>
    <row r="219" spans="1:8" x14ac:dyDescent="0.2">
      <c r="A219" s="320"/>
      <c r="H219" s="215"/>
    </row>
    <row r="220" spans="1:8" x14ac:dyDescent="0.2">
      <c r="A220" s="320"/>
      <c r="H220" s="215"/>
    </row>
    <row r="221" spans="1:8" x14ac:dyDescent="0.2">
      <c r="A221" s="320"/>
      <c r="H221" s="215"/>
    </row>
    <row r="222" spans="1:8" x14ac:dyDescent="0.2">
      <c r="A222" s="320"/>
      <c r="H222" s="215"/>
    </row>
    <row r="223" spans="1:8" x14ac:dyDescent="0.2">
      <c r="A223" s="320"/>
      <c r="H223" s="215"/>
    </row>
    <row r="224" spans="1:8" x14ac:dyDescent="0.2">
      <c r="A224" s="320"/>
      <c r="H224" s="215"/>
    </row>
    <row r="225" spans="1:8" x14ac:dyDescent="0.2">
      <c r="A225" s="320"/>
      <c r="H225" s="215"/>
    </row>
    <row r="226" spans="1:8" x14ac:dyDescent="0.2">
      <c r="A226" s="320"/>
      <c r="H226" s="215"/>
    </row>
    <row r="227" spans="1:8" ht="16" thickBot="1" x14ac:dyDescent="0.25">
      <c r="A227" s="234"/>
      <c r="B227" s="217"/>
      <c r="C227" s="217"/>
      <c r="D227" s="217"/>
      <c r="E227" s="217"/>
      <c r="F227" s="217"/>
      <c r="G227" s="217"/>
      <c r="H227" s="218"/>
    </row>
    <row r="230" spans="1:8" x14ac:dyDescent="0.2">
      <c r="A230" s="322" t="s">
        <v>2226</v>
      </c>
      <c r="B230" s="322"/>
      <c r="C230" s="322"/>
      <c r="D230" s="322"/>
      <c r="E230" s="322"/>
      <c r="F230" s="322"/>
      <c r="G230" s="322"/>
      <c r="H230" s="322"/>
    </row>
    <row r="248" spans="1:8" x14ac:dyDescent="0.2">
      <c r="A248" s="322" t="s">
        <v>2227</v>
      </c>
      <c r="B248" s="322"/>
      <c r="C248" s="322"/>
      <c r="D248" s="322"/>
      <c r="E248" s="322"/>
      <c r="F248" s="322"/>
      <c r="G248" s="322"/>
      <c r="H248" s="322"/>
    </row>
    <row r="249" spans="1:8" x14ac:dyDescent="0.2">
      <c r="A249" s="43" t="s">
        <v>2228</v>
      </c>
    </row>
    <row r="250" spans="1:8" x14ac:dyDescent="0.2">
      <c r="A250" s="43" t="s">
        <v>2229</v>
      </c>
    </row>
    <row r="251" spans="1:8" x14ac:dyDescent="0.2">
      <c r="A251" s="43" t="s">
        <v>2230</v>
      </c>
    </row>
    <row r="253" spans="1:8" x14ac:dyDescent="0.2">
      <c r="C253" s="59" t="s">
        <v>2231</v>
      </c>
      <c r="D253" s="59" t="s">
        <v>2232</v>
      </c>
    </row>
    <row r="254" spans="1:8" ht="16" x14ac:dyDescent="0.2">
      <c r="C254" s="77">
        <f>D254</f>
        <v>0.02</v>
      </c>
      <c r="D254" s="77">
        <v>0.02</v>
      </c>
      <c r="E254" s="92" t="s">
        <v>87</v>
      </c>
    </row>
    <row r="255" spans="1:8" ht="16" x14ac:dyDescent="0.2">
      <c r="C255" s="43">
        <v>4</v>
      </c>
      <c r="D255" s="43">
        <v>4</v>
      </c>
      <c r="E255" s="92" t="s">
        <v>89</v>
      </c>
    </row>
    <row r="256" spans="1:8" ht="16" x14ac:dyDescent="0.2">
      <c r="C256" s="331">
        <f>PV(C254,C255,C257,C258,C259)</f>
        <v>-18532.08993526515</v>
      </c>
      <c r="D256" s="335">
        <f>PV(D254,D255,D257,D258,D259)</f>
        <v>-11651.64981794332</v>
      </c>
      <c r="E256" s="92" t="s">
        <v>281</v>
      </c>
    </row>
    <row r="257" spans="1:5" ht="16" x14ac:dyDescent="0.2">
      <c r="C257" s="74">
        <v>2000</v>
      </c>
      <c r="D257" s="74">
        <v>3000</v>
      </c>
      <c r="E257" s="92" t="s">
        <v>91</v>
      </c>
    </row>
    <row r="258" spans="1:5" ht="16" x14ac:dyDescent="0.2">
      <c r="C258" s="335">
        <f>-D256</f>
        <v>11651.64981794332</v>
      </c>
      <c r="D258" s="74">
        <v>0</v>
      </c>
      <c r="E258" s="92" t="s">
        <v>105</v>
      </c>
    </row>
    <row r="259" spans="1:5" ht="16" x14ac:dyDescent="0.2">
      <c r="C259" s="43">
        <v>1</v>
      </c>
      <c r="D259" s="43">
        <v>1</v>
      </c>
      <c r="E259" s="92" t="s">
        <v>328</v>
      </c>
    </row>
    <row r="260" spans="1:5" ht="16" x14ac:dyDescent="0.2">
      <c r="E260" s="92"/>
    </row>
    <row r="261" spans="1:5" ht="16" x14ac:dyDescent="0.2">
      <c r="A261" s="43" t="s">
        <v>2233</v>
      </c>
      <c r="E261" s="92"/>
    </row>
    <row r="262" spans="1:5" ht="16" x14ac:dyDescent="0.2">
      <c r="A262" s="43" t="s">
        <v>2234</v>
      </c>
      <c r="E262" s="92"/>
    </row>
    <row r="263" spans="1:5" ht="16" x14ac:dyDescent="0.2">
      <c r="E263" s="92"/>
    </row>
    <row r="264" spans="1:5" ht="64" x14ac:dyDescent="0.2">
      <c r="C264" s="344" t="s">
        <v>2235</v>
      </c>
      <c r="D264" s="343" t="s">
        <v>2236</v>
      </c>
      <c r="E264" s="92"/>
    </row>
    <row r="265" spans="1:5" ht="16" x14ac:dyDescent="0.2">
      <c r="C265" s="345">
        <v>2000</v>
      </c>
      <c r="D265" s="74">
        <v>0</v>
      </c>
      <c r="E265" s="105">
        <v>0</v>
      </c>
    </row>
    <row r="266" spans="1:5" ht="16" x14ac:dyDescent="0.2">
      <c r="C266" s="345">
        <f>C265</f>
        <v>2000</v>
      </c>
      <c r="D266" s="74">
        <v>2000</v>
      </c>
      <c r="E266" s="105">
        <v>1</v>
      </c>
    </row>
    <row r="267" spans="1:5" ht="16" x14ac:dyDescent="0.2">
      <c r="C267" s="345">
        <f>C266</f>
        <v>2000</v>
      </c>
      <c r="D267" s="74">
        <f>D266</f>
        <v>2000</v>
      </c>
      <c r="E267" s="105">
        <f>E266+1</f>
        <v>2</v>
      </c>
    </row>
    <row r="268" spans="1:5" ht="16" x14ac:dyDescent="0.2">
      <c r="C268" s="345">
        <f>C267</f>
        <v>2000</v>
      </c>
      <c r="D268" s="74">
        <f>D267</f>
        <v>2000</v>
      </c>
      <c r="E268" s="105">
        <f t="shared" ref="E268:E273" si="3">E267+1</f>
        <v>3</v>
      </c>
    </row>
    <row r="269" spans="1:5" ht="16" x14ac:dyDescent="0.2">
      <c r="C269" s="345">
        <v>3000</v>
      </c>
      <c r="D269" s="74">
        <f>D268</f>
        <v>2000</v>
      </c>
      <c r="E269" s="105">
        <f t="shared" si="3"/>
        <v>4</v>
      </c>
    </row>
    <row r="270" spans="1:5" ht="16" x14ac:dyDescent="0.2">
      <c r="C270" s="345">
        <f>C269</f>
        <v>3000</v>
      </c>
      <c r="D270" s="74">
        <v>3000</v>
      </c>
      <c r="E270" s="105">
        <f t="shared" si="3"/>
        <v>5</v>
      </c>
    </row>
    <row r="271" spans="1:5" ht="16" x14ac:dyDescent="0.2">
      <c r="C271" s="345">
        <f>C270</f>
        <v>3000</v>
      </c>
      <c r="D271" s="74">
        <f>D270</f>
        <v>3000</v>
      </c>
      <c r="E271" s="105">
        <f t="shared" si="3"/>
        <v>6</v>
      </c>
    </row>
    <row r="272" spans="1:5" ht="16" x14ac:dyDescent="0.2">
      <c r="C272" s="345">
        <f>C271</f>
        <v>3000</v>
      </c>
      <c r="D272" s="74">
        <f>D271</f>
        <v>3000</v>
      </c>
      <c r="E272" s="105">
        <f t="shared" si="3"/>
        <v>7</v>
      </c>
    </row>
    <row r="273" spans="1:8" ht="16" x14ac:dyDescent="0.2">
      <c r="C273" s="345">
        <v>0</v>
      </c>
      <c r="D273" s="74">
        <f>D272</f>
        <v>3000</v>
      </c>
      <c r="E273" s="105">
        <f t="shared" si="3"/>
        <v>8</v>
      </c>
    </row>
    <row r="274" spans="1:8" ht="16" x14ac:dyDescent="0.2">
      <c r="E274" s="92"/>
    </row>
    <row r="275" spans="1:8" ht="16" x14ac:dyDescent="0.2">
      <c r="B275" s="43" t="s">
        <v>2237</v>
      </c>
      <c r="C275" s="331">
        <f>NPV(2%,C266:C273)+C265</f>
        <v>18532.089935265158</v>
      </c>
      <c r="E275" s="92"/>
    </row>
    <row r="276" spans="1:8" ht="16" x14ac:dyDescent="0.2">
      <c r="E276" s="92"/>
    </row>
    <row r="278" spans="1:8" ht="16" thickBot="1" x14ac:dyDescent="0.25">
      <c r="A278" s="44" t="s">
        <v>2187</v>
      </c>
    </row>
    <row r="279" spans="1:8" x14ac:dyDescent="0.2">
      <c r="A279" s="321"/>
      <c r="B279" s="212"/>
      <c r="C279" s="212"/>
      <c r="D279" s="212"/>
      <c r="E279" s="212"/>
      <c r="F279" s="212"/>
      <c r="G279" s="212"/>
      <c r="H279" s="213"/>
    </row>
    <row r="280" spans="1:8" x14ac:dyDescent="0.2">
      <c r="A280" s="320"/>
      <c r="H280" s="215"/>
    </row>
    <row r="281" spans="1:8" x14ac:dyDescent="0.2">
      <c r="A281" s="320"/>
      <c r="H281" s="215"/>
    </row>
    <row r="282" spans="1:8" x14ac:dyDescent="0.2">
      <c r="A282" s="320"/>
      <c r="H282" s="215"/>
    </row>
    <row r="283" spans="1:8" x14ac:dyDescent="0.2">
      <c r="A283" s="320"/>
      <c r="H283" s="215"/>
    </row>
    <row r="284" spans="1:8" x14ac:dyDescent="0.2">
      <c r="A284" s="320"/>
      <c r="H284" s="215"/>
    </row>
    <row r="285" spans="1:8" x14ac:dyDescent="0.2">
      <c r="A285" s="320"/>
      <c r="H285" s="215"/>
    </row>
    <row r="286" spans="1:8" x14ac:dyDescent="0.2">
      <c r="A286" s="320"/>
      <c r="H286" s="215"/>
    </row>
    <row r="287" spans="1:8" x14ac:dyDescent="0.2">
      <c r="A287" s="320"/>
      <c r="H287" s="215"/>
    </row>
    <row r="288" spans="1:8" x14ac:dyDescent="0.2">
      <c r="A288" s="320"/>
      <c r="H288" s="215"/>
    </row>
    <row r="289" spans="1:8" ht="16" thickBot="1" x14ac:dyDescent="0.25">
      <c r="A289" s="234"/>
      <c r="B289" s="217"/>
      <c r="C289" s="217"/>
      <c r="D289" s="217"/>
      <c r="E289" s="217"/>
      <c r="F289" s="217"/>
      <c r="G289" s="217"/>
      <c r="H289" s="218"/>
    </row>
    <row r="291" spans="1:8" x14ac:dyDescent="0.2">
      <c r="A291" s="322" t="s">
        <v>2238</v>
      </c>
      <c r="B291" s="322"/>
      <c r="C291" s="322"/>
      <c r="D291" s="322"/>
      <c r="E291" s="322"/>
      <c r="F291" s="322"/>
      <c r="G291" s="322"/>
      <c r="H291" s="322"/>
    </row>
    <row r="311" spans="1:8" x14ac:dyDescent="0.2">
      <c r="A311" s="322" t="s">
        <v>2239</v>
      </c>
      <c r="B311" s="322"/>
      <c r="C311" s="322"/>
      <c r="D311" s="322"/>
      <c r="E311" s="322"/>
      <c r="F311" s="322"/>
      <c r="G311" s="322"/>
      <c r="H311" s="322"/>
    </row>
    <row r="312" spans="1:8" x14ac:dyDescent="0.2">
      <c r="A312" s="43" t="s">
        <v>2240</v>
      </c>
    </row>
    <row r="313" spans="1:8" x14ac:dyDescent="0.2">
      <c r="A313" s="43" t="s">
        <v>2241</v>
      </c>
    </row>
    <row r="315" spans="1:8" x14ac:dyDescent="0.2">
      <c r="B315" s="59" t="s">
        <v>2242</v>
      </c>
      <c r="C315" s="59" t="s">
        <v>2243</v>
      </c>
      <c r="D315" s="59" t="s">
        <v>2244</v>
      </c>
    </row>
    <row r="316" spans="1:8" ht="16" x14ac:dyDescent="0.2">
      <c r="B316" s="77">
        <f>C316</f>
        <v>0.03</v>
      </c>
      <c r="C316" s="77">
        <f>D316</f>
        <v>0.03</v>
      </c>
      <c r="D316" s="77">
        <v>0.03</v>
      </c>
      <c r="E316" s="92" t="s">
        <v>87</v>
      </c>
    </row>
    <row r="317" spans="1:8" ht="16" x14ac:dyDescent="0.2">
      <c r="B317" s="43">
        <v>6</v>
      </c>
      <c r="C317" s="43">
        <v>6</v>
      </c>
      <c r="D317" s="43">
        <v>12</v>
      </c>
      <c r="E317" s="92" t="s">
        <v>89</v>
      </c>
    </row>
    <row r="318" spans="1:8" ht="16" x14ac:dyDescent="0.2">
      <c r="B318" s="331">
        <f>PV(B316,B317,B319,B320,B321)</f>
        <v>-251391.99514767886</v>
      </c>
      <c r="C318" s="337">
        <f>PV(C316,C317,C319,C320,C321)</f>
        <v>-222554.27052349318</v>
      </c>
      <c r="D318" s="335">
        <f>PV(D316,D317,D319,D320,D321)</f>
        <v>-149310.05990351338</v>
      </c>
      <c r="E318" s="92" t="s">
        <v>281</v>
      </c>
    </row>
    <row r="319" spans="1:8" ht="16" x14ac:dyDescent="0.2">
      <c r="B319" s="74">
        <v>12000</v>
      </c>
      <c r="C319" s="74">
        <v>18000</v>
      </c>
      <c r="D319" s="74">
        <v>15000</v>
      </c>
      <c r="E319" s="92" t="s">
        <v>91</v>
      </c>
    </row>
    <row r="320" spans="1:8" ht="16" x14ac:dyDescent="0.2">
      <c r="B320" s="337">
        <f>-C318</f>
        <v>222554.27052349318</v>
      </c>
      <c r="C320" s="335">
        <f>-D318</f>
        <v>149310.05990351338</v>
      </c>
      <c r="D320" s="74">
        <v>0</v>
      </c>
      <c r="E320" s="92" t="s">
        <v>105</v>
      </c>
    </row>
    <row r="321" spans="1:8" ht="16" x14ac:dyDescent="0.2">
      <c r="A321" s="185"/>
      <c r="B321" s="43">
        <v>0</v>
      </c>
      <c r="C321" s="43">
        <v>0</v>
      </c>
      <c r="D321" s="43">
        <v>0</v>
      </c>
      <c r="E321" s="92" t="s">
        <v>328</v>
      </c>
    </row>
    <row r="322" spans="1:8" x14ac:dyDescent="0.2">
      <c r="A322" s="74"/>
      <c r="B322" s="47"/>
    </row>
    <row r="323" spans="1:8" ht="16" thickBot="1" x14ac:dyDescent="0.25">
      <c r="A323" s="44" t="s">
        <v>2187</v>
      </c>
    </row>
    <row r="324" spans="1:8" x14ac:dyDescent="0.2">
      <c r="A324" s="321"/>
      <c r="B324" s="212"/>
      <c r="C324" s="212"/>
      <c r="D324" s="212"/>
      <c r="E324" s="212"/>
      <c r="F324" s="212"/>
      <c r="G324" s="212"/>
      <c r="H324" s="213"/>
    </row>
    <row r="325" spans="1:8" x14ac:dyDescent="0.2">
      <c r="A325" s="320"/>
      <c r="H325" s="215"/>
    </row>
    <row r="326" spans="1:8" x14ac:dyDescent="0.2">
      <c r="A326" s="320"/>
      <c r="H326" s="215"/>
    </row>
    <row r="327" spans="1:8" x14ac:dyDescent="0.2">
      <c r="A327" s="320"/>
      <c r="H327" s="215"/>
    </row>
    <row r="328" spans="1:8" x14ac:dyDescent="0.2">
      <c r="A328" s="320"/>
      <c r="H328" s="215"/>
    </row>
    <row r="329" spans="1:8" x14ac:dyDescent="0.2">
      <c r="A329" s="320"/>
      <c r="H329" s="215"/>
    </row>
    <row r="330" spans="1:8" x14ac:dyDescent="0.2">
      <c r="A330" s="320"/>
      <c r="H330" s="215"/>
    </row>
    <row r="331" spans="1:8" x14ac:dyDescent="0.2">
      <c r="A331" s="320"/>
      <c r="H331" s="215"/>
    </row>
    <row r="332" spans="1:8" x14ac:dyDescent="0.2">
      <c r="A332" s="320"/>
      <c r="H332" s="215"/>
    </row>
    <row r="333" spans="1:8" x14ac:dyDescent="0.2">
      <c r="A333" s="320"/>
      <c r="H333" s="215"/>
    </row>
    <row r="334" spans="1:8" ht="16" thickBot="1" x14ac:dyDescent="0.25">
      <c r="A334" s="234"/>
      <c r="B334" s="217"/>
      <c r="C334" s="217"/>
      <c r="D334" s="217"/>
      <c r="E334" s="217"/>
      <c r="F334" s="217"/>
      <c r="G334" s="217"/>
      <c r="H334" s="218"/>
    </row>
    <row r="335" spans="1:8" x14ac:dyDescent="0.2">
      <c r="B335" s="316"/>
    </row>
    <row r="336" spans="1:8" x14ac:dyDescent="0.2">
      <c r="B336" s="316"/>
    </row>
    <row r="337" spans="1:15" x14ac:dyDescent="0.2">
      <c r="A337" s="322" t="s">
        <v>2245</v>
      </c>
      <c r="B337" s="322"/>
      <c r="C337" s="322"/>
      <c r="D337" s="322"/>
      <c r="E337" s="322"/>
      <c r="F337" s="322"/>
      <c r="G337" s="322"/>
      <c r="H337" s="322"/>
    </row>
    <row r="341" spans="1:15" x14ac:dyDescent="0.2">
      <c r="J341" s="43" t="s">
        <v>764</v>
      </c>
    </row>
    <row r="343" spans="1:15" x14ac:dyDescent="0.2">
      <c r="J343" s="47">
        <v>1</v>
      </c>
      <c r="K343" s="47"/>
      <c r="L343" s="47"/>
      <c r="M343" s="47">
        <v>0</v>
      </c>
    </row>
    <row r="345" spans="1:15" x14ac:dyDescent="0.2">
      <c r="J345" s="566">
        <f>-M345</f>
        <v>-100</v>
      </c>
      <c r="M345" s="47">
        <v>100</v>
      </c>
      <c r="O345" s="72">
        <f>ABS(J345)/M347-1</f>
        <v>6.3829787234042534E-2</v>
      </c>
    </row>
    <row r="346" spans="1:15" x14ac:dyDescent="0.2">
      <c r="M346" s="47">
        <f>-6%*M345</f>
        <v>-6</v>
      </c>
      <c r="O346" s="72"/>
    </row>
    <row r="347" spans="1:15" x14ac:dyDescent="0.2">
      <c r="M347" s="565">
        <f>M345+M346</f>
        <v>94</v>
      </c>
      <c r="O347" s="72"/>
    </row>
    <row r="348" spans="1:15" x14ac:dyDescent="0.2">
      <c r="J348" s="43" t="s">
        <v>2252</v>
      </c>
      <c r="O348" s="72"/>
    </row>
    <row r="349" spans="1:15" x14ac:dyDescent="0.2">
      <c r="J349" s="47">
        <v>1</v>
      </c>
      <c r="K349" s="47"/>
      <c r="L349" s="47"/>
      <c r="M349" s="47">
        <v>0</v>
      </c>
      <c r="O349" s="72"/>
    </row>
    <row r="350" spans="1:15" x14ac:dyDescent="0.2">
      <c r="O350" s="72"/>
    </row>
    <row r="351" spans="1:15" x14ac:dyDescent="0.2">
      <c r="J351" s="566">
        <f>-100*(1+2%/2)^2</f>
        <v>-102.01</v>
      </c>
      <c r="M351" s="47">
        <v>100</v>
      </c>
      <c r="O351" s="72">
        <f>ABS(J351)/M353-1</f>
        <v>6.2604166666666794E-2</v>
      </c>
    </row>
    <row r="352" spans="1:15" x14ac:dyDescent="0.2">
      <c r="M352" s="47">
        <v>-4</v>
      </c>
    </row>
    <row r="353" spans="1:13" x14ac:dyDescent="0.2">
      <c r="M353" s="565">
        <f>M351+M352</f>
        <v>96</v>
      </c>
    </row>
    <row r="356" spans="1:13" x14ac:dyDescent="0.2">
      <c r="A356" s="322" t="s">
        <v>2246</v>
      </c>
      <c r="B356" s="322"/>
      <c r="C356" s="322"/>
      <c r="D356" s="322"/>
      <c r="E356" s="322"/>
      <c r="F356" s="322"/>
      <c r="G356" s="322"/>
      <c r="H356" s="322"/>
    </row>
    <row r="358" spans="1:13" x14ac:dyDescent="0.2">
      <c r="A358" s="43" t="s">
        <v>763</v>
      </c>
      <c r="C358" s="43" t="s">
        <v>2247</v>
      </c>
      <c r="E358" s="205">
        <f>1.015^4-1</f>
        <v>6.136355062499943E-2</v>
      </c>
      <c r="G358" s="43" t="s">
        <v>2248</v>
      </c>
    </row>
    <row r="359" spans="1:13" x14ac:dyDescent="0.2">
      <c r="A359" s="43" t="s">
        <v>764</v>
      </c>
      <c r="E359" s="161">
        <f>1/0.94-1</f>
        <v>6.3829787234042534E-2</v>
      </c>
      <c r="G359" s="43" t="s">
        <v>2249</v>
      </c>
    </row>
    <row r="360" spans="1:13" x14ac:dyDescent="0.2">
      <c r="A360" s="43" t="s">
        <v>2250</v>
      </c>
      <c r="E360" s="161">
        <f>1.0055^12-1</f>
        <v>6.8033559467648441E-2</v>
      </c>
      <c r="G360" s="43" t="s">
        <v>2251</v>
      </c>
    </row>
    <row r="361" spans="1:13" x14ac:dyDescent="0.2">
      <c r="A361" s="43" t="s">
        <v>2252</v>
      </c>
      <c r="E361" s="161">
        <f>1.01^2/0.96-1</f>
        <v>6.2604166666666794E-2</v>
      </c>
      <c r="G361" s="43" t="s">
        <v>2253</v>
      </c>
    </row>
    <row r="362" spans="1:13" x14ac:dyDescent="0.2">
      <c r="A362" s="43" t="s">
        <v>2254</v>
      </c>
      <c r="E362" s="161">
        <v>6.2E-2</v>
      </c>
    </row>
    <row r="363" spans="1:13" x14ac:dyDescent="0.2">
      <c r="E363" s="161"/>
    </row>
    <row r="364" spans="1:13" ht="16" thickBot="1" x14ac:dyDescent="0.25">
      <c r="A364" s="44" t="s">
        <v>2187</v>
      </c>
    </row>
    <row r="365" spans="1:13" x14ac:dyDescent="0.2">
      <c r="A365" s="321" t="s">
        <v>2255</v>
      </c>
      <c r="B365" s="212"/>
      <c r="C365" s="212"/>
      <c r="D365" s="212"/>
      <c r="E365" s="212"/>
      <c r="F365" s="212"/>
      <c r="G365" s="212"/>
      <c r="H365" s="213"/>
    </row>
    <row r="366" spans="1:13" x14ac:dyDescent="0.2">
      <c r="A366" s="320" t="s">
        <v>2256</v>
      </c>
      <c r="G366" s="43" t="s">
        <v>2257</v>
      </c>
      <c r="H366" s="215"/>
    </row>
    <row r="367" spans="1:13" x14ac:dyDescent="0.2">
      <c r="A367" s="320" t="s">
        <v>2258</v>
      </c>
      <c r="H367" s="215"/>
    </row>
    <row r="368" spans="1:13" x14ac:dyDescent="0.2">
      <c r="A368" s="320" t="s">
        <v>2259</v>
      </c>
      <c r="H368" s="215"/>
    </row>
    <row r="369" spans="1:8" x14ac:dyDescent="0.2">
      <c r="A369" s="320" t="s">
        <v>2260</v>
      </c>
      <c r="H369" s="215"/>
    </row>
    <row r="370" spans="1:8" x14ac:dyDescent="0.2">
      <c r="A370" s="320" t="s">
        <v>2261</v>
      </c>
      <c r="H370" s="215"/>
    </row>
    <row r="371" spans="1:8" x14ac:dyDescent="0.2">
      <c r="A371" s="320" t="s">
        <v>2262</v>
      </c>
      <c r="H371" s="215"/>
    </row>
    <row r="372" spans="1:8" x14ac:dyDescent="0.2">
      <c r="A372" s="320" t="s">
        <v>2263</v>
      </c>
      <c r="H372" s="215"/>
    </row>
    <row r="373" spans="1:8" x14ac:dyDescent="0.2">
      <c r="A373" s="320" t="s">
        <v>2264</v>
      </c>
      <c r="H373" s="215"/>
    </row>
    <row r="374" spans="1:8" x14ac:dyDescent="0.2">
      <c r="A374" s="320" t="s">
        <v>2265</v>
      </c>
      <c r="H374" s="215"/>
    </row>
    <row r="375" spans="1:8" ht="16" thickBot="1" x14ac:dyDescent="0.25">
      <c r="A375" s="234" t="s">
        <v>2266</v>
      </c>
      <c r="B375" s="217"/>
      <c r="C375" s="217"/>
      <c r="D375" s="217"/>
      <c r="E375" s="217"/>
      <c r="F375" s="217"/>
      <c r="G375" s="217"/>
      <c r="H375" s="218"/>
    </row>
    <row r="378" spans="1:8" x14ac:dyDescent="0.2">
      <c r="A378" s="322" t="s">
        <v>2267</v>
      </c>
      <c r="B378" s="322"/>
      <c r="C378" s="322"/>
      <c r="D378" s="322"/>
      <c r="E378" s="322"/>
      <c r="F378" s="322"/>
      <c r="G378" s="322"/>
      <c r="H378" s="322"/>
    </row>
    <row r="395" spans="1:8" x14ac:dyDescent="0.2">
      <c r="A395" s="322" t="s">
        <v>2268</v>
      </c>
      <c r="B395" s="322"/>
      <c r="C395" s="322"/>
      <c r="D395" s="322"/>
      <c r="E395" s="322"/>
      <c r="F395" s="322"/>
      <c r="G395" s="322"/>
      <c r="H395" s="322"/>
    </row>
    <row r="397" spans="1:8" x14ac:dyDescent="0.2">
      <c r="A397" s="43" t="s">
        <v>2269</v>
      </c>
    </row>
    <row r="398" spans="1:8" x14ac:dyDescent="0.2">
      <c r="A398" s="43" t="s">
        <v>2270</v>
      </c>
    </row>
    <row r="399" spans="1:8" x14ac:dyDescent="0.2">
      <c r="A399" s="43" t="s">
        <v>2271</v>
      </c>
    </row>
    <row r="401" spans="1:8" x14ac:dyDescent="0.2">
      <c r="B401" s="49">
        <v>0.5</v>
      </c>
      <c r="C401" s="49"/>
      <c r="D401" s="49"/>
      <c r="E401" s="49"/>
      <c r="F401" s="49">
        <v>0</v>
      </c>
    </row>
    <row r="402" spans="1:8" x14ac:dyDescent="0.2">
      <c r="B402" s="48">
        <f>-100000*1.024</f>
        <v>-102400</v>
      </c>
      <c r="D402" s="43" t="s">
        <v>2272</v>
      </c>
      <c r="F402" s="48">
        <v>100000</v>
      </c>
      <c r="G402" s="43" t="s">
        <v>2273</v>
      </c>
    </row>
    <row r="403" spans="1:8" x14ac:dyDescent="0.2">
      <c r="B403" s="47">
        <v>230</v>
      </c>
      <c r="C403" s="43" t="s">
        <v>2274</v>
      </c>
      <c r="F403" s="48">
        <f>-1.5%*100000</f>
        <v>-1500</v>
      </c>
      <c r="G403" s="43" t="s">
        <v>2275</v>
      </c>
    </row>
    <row r="404" spans="1:8" x14ac:dyDescent="0.2">
      <c r="B404" s="346">
        <f>B402+B403</f>
        <v>-102170</v>
      </c>
      <c r="F404" s="346">
        <f>F402+F403</f>
        <v>98500</v>
      </c>
      <c r="G404" s="43" t="s">
        <v>2276</v>
      </c>
    </row>
    <row r="407" spans="1:8" x14ac:dyDescent="0.2">
      <c r="A407" s="43" t="s">
        <v>2277</v>
      </c>
      <c r="C407" s="201">
        <f>-B404/F404-1</f>
        <v>3.7258883248731056E-2</v>
      </c>
      <c r="H407" s="43" t="s">
        <v>2278</v>
      </c>
    </row>
    <row r="408" spans="1:8" x14ac:dyDescent="0.2">
      <c r="A408" s="43" t="s">
        <v>2279</v>
      </c>
      <c r="C408" s="338">
        <f>(1+C407)^2-1</f>
        <v>7.5905990878404772E-2</v>
      </c>
      <c r="H408" s="43" t="s">
        <v>2280</v>
      </c>
    </row>
    <row r="410" spans="1:8" x14ac:dyDescent="0.2">
      <c r="A410" s="43" t="s">
        <v>2281</v>
      </c>
    </row>
    <row r="411" spans="1:8" x14ac:dyDescent="0.2">
      <c r="A411" s="43" t="s">
        <v>2282</v>
      </c>
      <c r="C411" s="201">
        <f>(100000*1.024-230)/(100000*0.985)-1</f>
        <v>3.7258883248731056E-2</v>
      </c>
      <c r="H411" s="43" t="s">
        <v>2283</v>
      </c>
    </row>
    <row r="412" spans="1:8" x14ac:dyDescent="0.2">
      <c r="A412" s="43" t="s">
        <v>2284</v>
      </c>
      <c r="C412" s="338">
        <f>(1+C411)^2-1</f>
        <v>7.5905990878404772E-2</v>
      </c>
      <c r="H412" s="43" t="s">
        <v>2280</v>
      </c>
    </row>
    <row r="414" spans="1:8" ht="16" thickBot="1" x14ac:dyDescent="0.25">
      <c r="A414" s="44" t="s">
        <v>2187</v>
      </c>
    </row>
    <row r="415" spans="1:8" x14ac:dyDescent="0.2">
      <c r="A415" s="321"/>
      <c r="B415" s="212"/>
      <c r="C415" s="212"/>
      <c r="D415" s="212"/>
      <c r="E415" s="212"/>
      <c r="F415" s="212"/>
      <c r="G415" s="212"/>
      <c r="H415" s="213"/>
    </row>
    <row r="416" spans="1:8" x14ac:dyDescent="0.2">
      <c r="A416" s="320"/>
      <c r="H416" s="215"/>
    </row>
    <row r="417" spans="1:8" x14ac:dyDescent="0.2">
      <c r="A417" s="320"/>
      <c r="H417" s="215"/>
    </row>
    <row r="418" spans="1:8" x14ac:dyDescent="0.2">
      <c r="A418" s="320"/>
      <c r="H418" s="215"/>
    </row>
    <row r="419" spans="1:8" x14ac:dyDescent="0.2">
      <c r="A419" s="320"/>
      <c r="H419" s="215"/>
    </row>
    <row r="420" spans="1:8" x14ac:dyDescent="0.2">
      <c r="A420" s="320"/>
      <c r="H420" s="215"/>
    </row>
    <row r="421" spans="1:8" x14ac:dyDescent="0.2">
      <c r="A421" s="320"/>
      <c r="H421" s="215"/>
    </row>
    <row r="422" spans="1:8" x14ac:dyDescent="0.2">
      <c r="A422" s="320"/>
      <c r="H422" s="215"/>
    </row>
    <row r="423" spans="1:8" x14ac:dyDescent="0.2">
      <c r="A423" s="320"/>
      <c r="H423" s="215"/>
    </row>
    <row r="424" spans="1:8" x14ac:dyDescent="0.2">
      <c r="A424" s="320"/>
      <c r="H424" s="215"/>
    </row>
    <row r="425" spans="1:8" ht="16" thickBot="1" x14ac:dyDescent="0.25">
      <c r="A425" s="234"/>
      <c r="B425" s="217"/>
      <c r="C425" s="217"/>
      <c r="D425" s="217"/>
      <c r="E425" s="217"/>
      <c r="F425" s="217"/>
      <c r="G425" s="217"/>
      <c r="H425" s="218"/>
    </row>
    <row r="433" spans="1:8" x14ac:dyDescent="0.2">
      <c r="A433" s="322" t="s">
        <v>2285</v>
      </c>
      <c r="B433" s="322"/>
      <c r="C433" s="322"/>
      <c r="D433" s="322"/>
      <c r="E433" s="322"/>
      <c r="F433" s="322"/>
      <c r="G433" s="322"/>
      <c r="H433" s="322"/>
    </row>
    <row r="449" spans="1:8" x14ac:dyDescent="0.2">
      <c r="A449" s="322" t="s">
        <v>2286</v>
      </c>
      <c r="B449" s="322"/>
      <c r="C449" s="322"/>
      <c r="D449" s="322"/>
      <c r="E449" s="322"/>
      <c r="F449" s="322"/>
      <c r="G449" s="322"/>
      <c r="H449" s="322"/>
    </row>
    <row r="451" spans="1:8" x14ac:dyDescent="0.2">
      <c r="A451" s="43" t="s">
        <v>2287</v>
      </c>
    </row>
    <row r="452" spans="1:8" x14ac:dyDescent="0.2">
      <c r="A452" s="43" t="s">
        <v>2288</v>
      </c>
    </row>
    <row r="453" spans="1:8" x14ac:dyDescent="0.2">
      <c r="A453" s="43" t="s">
        <v>2289</v>
      </c>
    </row>
    <row r="454" spans="1:8" x14ac:dyDescent="0.2">
      <c r="A454" s="43" t="s">
        <v>2290</v>
      </c>
    </row>
    <row r="456" spans="1:8" x14ac:dyDescent="0.2">
      <c r="C456" s="59" t="s">
        <v>268</v>
      </c>
      <c r="D456" s="59" t="s">
        <v>2291</v>
      </c>
    </row>
    <row r="457" spans="1:8" ht="16" x14ac:dyDescent="0.2">
      <c r="C457" s="77">
        <f>D457</f>
        <v>0.01</v>
      </c>
      <c r="D457" s="77">
        <v>0.01</v>
      </c>
      <c r="E457" s="92" t="s">
        <v>87</v>
      </c>
    </row>
    <row r="458" spans="1:8" ht="16" x14ac:dyDescent="0.2">
      <c r="C458" s="43">
        <f>7</f>
        <v>7</v>
      </c>
      <c r="D458" s="43">
        <v>5</v>
      </c>
      <c r="E458" s="92" t="s">
        <v>89</v>
      </c>
    </row>
    <row r="459" spans="1:8" ht="16" x14ac:dyDescent="0.2">
      <c r="C459" s="332">
        <f>-D461</f>
        <v>52550.502504999997</v>
      </c>
      <c r="D459" s="74">
        <v>50000</v>
      </c>
      <c r="E459" s="92" t="s">
        <v>281</v>
      </c>
    </row>
    <row r="460" spans="1:8" ht="16" x14ac:dyDescent="0.2">
      <c r="C460" s="318">
        <f>PMT(C457,C458,C459,C461,C462)</f>
        <v>-7810.4909535921333</v>
      </c>
      <c r="D460" s="43">
        <v>0</v>
      </c>
      <c r="E460" s="92" t="s">
        <v>91</v>
      </c>
    </row>
    <row r="461" spans="1:8" ht="16" x14ac:dyDescent="0.2">
      <c r="C461" s="43">
        <v>0</v>
      </c>
      <c r="D461" s="332">
        <f>FV(D457,D458,D460,D459)</f>
        <v>-52550.502504999997</v>
      </c>
      <c r="E461" s="92" t="s">
        <v>105</v>
      </c>
    </row>
    <row r="462" spans="1:8" ht="16" x14ac:dyDescent="0.2">
      <c r="C462" s="43">
        <v>0</v>
      </c>
      <c r="D462" s="43">
        <v>0</v>
      </c>
      <c r="E462" s="92" t="s">
        <v>328</v>
      </c>
    </row>
    <row r="464" spans="1:8" ht="16" thickBot="1" x14ac:dyDescent="0.25">
      <c r="A464" s="44" t="s">
        <v>2187</v>
      </c>
    </row>
    <row r="465" spans="1:8" x14ac:dyDescent="0.2">
      <c r="A465" s="321"/>
      <c r="B465" s="212"/>
      <c r="C465" s="212"/>
      <c r="D465" s="212"/>
      <c r="E465" s="212"/>
      <c r="F465" s="212"/>
      <c r="G465" s="212"/>
      <c r="H465" s="213"/>
    </row>
    <row r="466" spans="1:8" x14ac:dyDescent="0.2">
      <c r="A466" s="320"/>
      <c r="H466" s="215"/>
    </row>
    <row r="467" spans="1:8" x14ac:dyDescent="0.2">
      <c r="A467" s="320"/>
      <c r="H467" s="215"/>
    </row>
    <row r="468" spans="1:8" x14ac:dyDescent="0.2">
      <c r="A468" s="320"/>
      <c r="H468" s="215"/>
    </row>
    <row r="469" spans="1:8" x14ac:dyDescent="0.2">
      <c r="A469" s="320"/>
      <c r="H469" s="215"/>
    </row>
    <row r="470" spans="1:8" x14ac:dyDescent="0.2">
      <c r="A470" s="320"/>
      <c r="H470" s="215"/>
    </row>
    <row r="471" spans="1:8" x14ac:dyDescent="0.2">
      <c r="A471" s="320"/>
      <c r="H471" s="215"/>
    </row>
    <row r="472" spans="1:8" x14ac:dyDescent="0.2">
      <c r="A472" s="320"/>
      <c r="H472" s="215"/>
    </row>
    <row r="473" spans="1:8" x14ac:dyDescent="0.2">
      <c r="A473" s="320"/>
      <c r="H473" s="215"/>
    </row>
    <row r="474" spans="1:8" x14ac:dyDescent="0.2">
      <c r="A474" s="320"/>
      <c r="H474" s="215"/>
    </row>
    <row r="475" spans="1:8" ht="16" thickBot="1" x14ac:dyDescent="0.25">
      <c r="A475" s="234"/>
      <c r="B475" s="217"/>
      <c r="C475" s="217"/>
      <c r="D475" s="217"/>
      <c r="E475" s="217"/>
      <c r="F475" s="217"/>
      <c r="G475" s="217"/>
      <c r="H475" s="218"/>
    </row>
    <row r="477" spans="1:8" x14ac:dyDescent="0.2">
      <c r="A477" s="322" t="s">
        <v>2292</v>
      </c>
      <c r="B477" s="322"/>
      <c r="C477" s="322"/>
      <c r="D477" s="322"/>
      <c r="E477" s="322"/>
      <c r="F477" s="322"/>
      <c r="G477" s="322"/>
      <c r="H477" s="322"/>
    </row>
    <row r="493" spans="1:8" x14ac:dyDescent="0.2">
      <c r="A493" s="322" t="s">
        <v>2293</v>
      </c>
      <c r="B493" s="322"/>
      <c r="C493" s="322"/>
      <c r="D493" s="322"/>
      <c r="E493" s="322"/>
      <c r="F493" s="322"/>
      <c r="G493" s="322"/>
      <c r="H493" s="322"/>
    </row>
    <row r="494" spans="1:8" x14ac:dyDescent="0.2">
      <c r="A494" s="43" t="s">
        <v>2294</v>
      </c>
    </row>
    <row r="495" spans="1:8" x14ac:dyDescent="0.2">
      <c r="A495" s="43" t="s">
        <v>2295</v>
      </c>
    </row>
    <row r="496" spans="1:8" x14ac:dyDescent="0.2">
      <c r="A496" s="43" t="s">
        <v>2296</v>
      </c>
    </row>
    <row r="497" spans="1:8" x14ac:dyDescent="0.2">
      <c r="E497" s="74">
        <f>100000*10/15</f>
        <v>66666.666666666672</v>
      </c>
      <c r="H497" s="43" t="s">
        <v>2297</v>
      </c>
    </row>
    <row r="498" spans="1:8" x14ac:dyDescent="0.2">
      <c r="A498" s="43" t="s">
        <v>2298</v>
      </c>
    </row>
    <row r="500" spans="1:8" x14ac:dyDescent="0.2">
      <c r="D500" s="77">
        <v>0.08</v>
      </c>
      <c r="E500" s="43" t="s">
        <v>87</v>
      </c>
    </row>
    <row r="501" spans="1:8" x14ac:dyDescent="0.2">
      <c r="D501" s="43">
        <v>5</v>
      </c>
      <c r="E501" s="43" t="s">
        <v>1488</v>
      </c>
    </row>
    <row r="502" spans="1:8" x14ac:dyDescent="0.2">
      <c r="D502" s="43">
        <v>10</v>
      </c>
      <c r="E502" s="43" t="s">
        <v>89</v>
      </c>
    </row>
    <row r="503" spans="1:8" x14ac:dyDescent="0.2">
      <c r="D503" s="74">
        <f>E497</f>
        <v>66666.666666666672</v>
      </c>
      <c r="E503" s="43" t="s">
        <v>281</v>
      </c>
    </row>
    <row r="504" spans="1:8" x14ac:dyDescent="0.2">
      <c r="D504" s="43">
        <v>0</v>
      </c>
      <c r="E504" s="43" t="s">
        <v>105</v>
      </c>
    </row>
    <row r="505" spans="1:8" x14ac:dyDescent="0.2">
      <c r="D505" s="43">
        <v>0</v>
      </c>
      <c r="E505" s="43" t="s">
        <v>328</v>
      </c>
    </row>
    <row r="506" spans="1:8" x14ac:dyDescent="0.2">
      <c r="D506" s="318">
        <f>PPMT(D500,D501,D502,D503,D504,D505)</f>
        <v>-6260.9238191210607</v>
      </c>
      <c r="E506" s="43" t="s">
        <v>1490</v>
      </c>
    </row>
    <row r="508" spans="1:8" ht="16" thickBot="1" x14ac:dyDescent="0.25">
      <c r="A508" s="44" t="s">
        <v>2187</v>
      </c>
    </row>
    <row r="509" spans="1:8" x14ac:dyDescent="0.2">
      <c r="A509" s="321"/>
      <c r="B509" s="212"/>
      <c r="C509" s="212"/>
      <c r="D509" s="212"/>
      <c r="E509" s="212"/>
      <c r="F509" s="212"/>
      <c r="G509" s="212"/>
      <c r="H509" s="213"/>
    </row>
    <row r="510" spans="1:8" x14ac:dyDescent="0.2">
      <c r="A510" s="320"/>
      <c r="H510" s="215"/>
    </row>
    <row r="511" spans="1:8" x14ac:dyDescent="0.2">
      <c r="A511" s="320"/>
      <c r="H511" s="215"/>
    </row>
    <row r="512" spans="1:8" x14ac:dyDescent="0.2">
      <c r="A512" s="320"/>
      <c r="H512" s="215"/>
    </row>
    <row r="513" spans="1:8" x14ac:dyDescent="0.2">
      <c r="A513" s="320"/>
      <c r="H513" s="215"/>
    </row>
    <row r="514" spans="1:8" x14ac:dyDescent="0.2">
      <c r="A514" s="320"/>
      <c r="H514" s="215"/>
    </row>
    <row r="515" spans="1:8" x14ac:dyDescent="0.2">
      <c r="A515" s="320"/>
      <c r="H515" s="215"/>
    </row>
    <row r="516" spans="1:8" x14ac:dyDescent="0.2">
      <c r="A516" s="320"/>
      <c r="H516" s="215"/>
    </row>
    <row r="517" spans="1:8" x14ac:dyDescent="0.2">
      <c r="A517" s="320"/>
      <c r="H517" s="215"/>
    </row>
    <row r="518" spans="1:8" x14ac:dyDescent="0.2">
      <c r="A518" s="320"/>
      <c r="H518" s="215"/>
    </row>
    <row r="519" spans="1:8" ht="16" thickBot="1" x14ac:dyDescent="0.25">
      <c r="A519" s="234"/>
      <c r="B519" s="217"/>
      <c r="C519" s="217"/>
      <c r="D519" s="217"/>
      <c r="E519" s="217"/>
      <c r="F519" s="217"/>
      <c r="G519" s="217"/>
      <c r="H519" s="218"/>
    </row>
    <row r="527" spans="1:8" x14ac:dyDescent="0.2">
      <c r="A527" s="322" t="s">
        <v>2299</v>
      </c>
      <c r="B527" s="322"/>
      <c r="C527" s="322"/>
      <c r="D527" s="322"/>
      <c r="E527" s="322"/>
      <c r="F527" s="322"/>
      <c r="G527" s="322"/>
      <c r="H527" s="322"/>
    </row>
    <row r="543" spans="1:8" x14ac:dyDescent="0.2">
      <c r="A543" s="322" t="s">
        <v>2300</v>
      </c>
      <c r="B543" s="322"/>
      <c r="C543" s="322"/>
      <c r="D543" s="322"/>
      <c r="E543" s="322"/>
      <c r="F543" s="322"/>
      <c r="G543" s="322"/>
      <c r="H543" s="322"/>
    </row>
    <row r="544" spans="1:8" x14ac:dyDescent="0.2">
      <c r="A544" s="43" t="s">
        <v>2301</v>
      </c>
    </row>
    <row r="545" spans="1:5" x14ac:dyDescent="0.2">
      <c r="A545" s="43" t="s">
        <v>2302</v>
      </c>
    </row>
    <row r="547" spans="1:5" x14ac:dyDescent="0.2">
      <c r="D547" s="59" t="s">
        <v>2303</v>
      </c>
    </row>
    <row r="548" spans="1:5" ht="16" x14ac:dyDescent="0.2">
      <c r="D548" s="317">
        <v>5.0000000000000001E-3</v>
      </c>
      <c r="E548" s="92" t="s">
        <v>87</v>
      </c>
    </row>
    <row r="549" spans="1:5" ht="16" x14ac:dyDescent="0.2">
      <c r="D549" s="43">
        <f>5*12</f>
        <v>60</v>
      </c>
      <c r="E549" s="92" t="s">
        <v>89</v>
      </c>
    </row>
    <row r="550" spans="1:5" ht="16" x14ac:dyDescent="0.2">
      <c r="D550" s="332">
        <f>PV(D548,D549,D551,D552,D553)</f>
        <v>99999.992088945713</v>
      </c>
      <c r="E550" s="92" t="s">
        <v>281</v>
      </c>
    </row>
    <row r="551" spans="1:5" ht="16" x14ac:dyDescent="0.2">
      <c r="D551" s="74">
        <v>-1933.28</v>
      </c>
      <c r="E551" s="92" t="s">
        <v>91</v>
      </c>
    </row>
    <row r="552" spans="1:5" ht="16" x14ac:dyDescent="0.2">
      <c r="D552" s="74">
        <v>0</v>
      </c>
      <c r="E552" s="92" t="s">
        <v>105</v>
      </c>
    </row>
    <row r="553" spans="1:5" ht="16" x14ac:dyDescent="0.2">
      <c r="D553" s="43">
        <v>0</v>
      </c>
      <c r="E553" s="92" t="s">
        <v>328</v>
      </c>
    </row>
    <row r="555" spans="1:5" x14ac:dyDescent="0.2">
      <c r="A555" s="43" t="s">
        <v>2304</v>
      </c>
    </row>
    <row r="556" spans="1:5" x14ac:dyDescent="0.2">
      <c r="D556" s="317">
        <f>D548</f>
        <v>5.0000000000000001E-3</v>
      </c>
      <c r="E556" s="43" t="s">
        <v>87</v>
      </c>
    </row>
    <row r="557" spans="1:5" x14ac:dyDescent="0.2">
      <c r="D557" s="43">
        <f>18</f>
        <v>18</v>
      </c>
      <c r="E557" s="43" t="s">
        <v>1488</v>
      </c>
    </row>
    <row r="558" spans="1:5" x14ac:dyDescent="0.2">
      <c r="D558" s="43">
        <f>5*12</f>
        <v>60</v>
      </c>
      <c r="E558" s="43" t="s">
        <v>89</v>
      </c>
    </row>
    <row r="559" spans="1:5" x14ac:dyDescent="0.2">
      <c r="D559" s="74">
        <f>D550</f>
        <v>99999.992088945713</v>
      </c>
      <c r="E559" s="43" t="s">
        <v>281</v>
      </c>
    </row>
    <row r="560" spans="1:5" x14ac:dyDescent="0.2">
      <c r="D560" s="43">
        <v>0</v>
      </c>
      <c r="E560" s="43" t="s">
        <v>105</v>
      </c>
    </row>
    <row r="561" spans="1:8" x14ac:dyDescent="0.2">
      <c r="D561" s="43">
        <v>0</v>
      </c>
      <c r="E561" s="43" t="s">
        <v>328</v>
      </c>
    </row>
    <row r="562" spans="1:8" x14ac:dyDescent="0.2">
      <c r="D562" s="318">
        <f>IPMT(D556,D557,D558,D559,D560,D561)</f>
        <v>-373.1740161452214</v>
      </c>
      <c r="E562" s="43" t="s">
        <v>1490</v>
      </c>
    </row>
    <row r="564" spans="1:8" ht="16" thickBot="1" x14ac:dyDescent="0.25">
      <c r="A564" s="44" t="s">
        <v>2187</v>
      </c>
    </row>
    <row r="565" spans="1:8" x14ac:dyDescent="0.2">
      <c r="A565" s="321"/>
      <c r="B565" s="212"/>
      <c r="C565" s="212"/>
      <c r="D565" s="212"/>
      <c r="E565" s="212"/>
      <c r="F565" s="212"/>
      <c r="G565" s="212"/>
      <c r="H565" s="213"/>
    </row>
    <row r="566" spans="1:8" x14ac:dyDescent="0.2">
      <c r="A566" s="320"/>
      <c r="H566" s="215"/>
    </row>
    <row r="567" spans="1:8" x14ac:dyDescent="0.2">
      <c r="A567" s="320"/>
      <c r="H567" s="215"/>
    </row>
    <row r="568" spans="1:8" x14ac:dyDescent="0.2">
      <c r="A568" s="320"/>
      <c r="H568" s="215"/>
    </row>
    <row r="569" spans="1:8" x14ac:dyDescent="0.2">
      <c r="A569" s="320"/>
      <c r="H569" s="215"/>
    </row>
    <row r="570" spans="1:8" x14ac:dyDescent="0.2">
      <c r="A570" s="320"/>
      <c r="H570" s="215"/>
    </row>
    <row r="571" spans="1:8" x14ac:dyDescent="0.2">
      <c r="A571" s="320"/>
      <c r="H571" s="215"/>
    </row>
    <row r="572" spans="1:8" x14ac:dyDescent="0.2">
      <c r="A572" s="320"/>
      <c r="H572" s="215"/>
    </row>
    <row r="573" spans="1:8" x14ac:dyDescent="0.2">
      <c r="A573" s="320"/>
      <c r="H573" s="215"/>
    </row>
    <row r="574" spans="1:8" x14ac:dyDescent="0.2">
      <c r="A574" s="320"/>
      <c r="H574" s="215"/>
    </row>
    <row r="575" spans="1:8" ht="16" thickBot="1" x14ac:dyDescent="0.25">
      <c r="A575" s="234"/>
      <c r="B575" s="217"/>
      <c r="C575" s="217"/>
      <c r="D575" s="217"/>
      <c r="E575" s="217"/>
      <c r="F575" s="217"/>
      <c r="G575" s="217"/>
      <c r="H575" s="218"/>
    </row>
    <row r="588" spans="1:8" x14ac:dyDescent="0.2">
      <c r="A588" s="322" t="s">
        <v>2305</v>
      </c>
      <c r="B588" s="322"/>
      <c r="C588" s="322"/>
      <c r="D588" s="322"/>
      <c r="E588" s="322"/>
      <c r="F588" s="322"/>
      <c r="G588" s="322"/>
      <c r="H588" s="322"/>
    </row>
    <row r="589" spans="1:8" x14ac:dyDescent="0.2">
      <c r="C589" s="316"/>
    </row>
    <row r="590" spans="1:8" x14ac:dyDescent="0.2">
      <c r="C590" s="316"/>
    </row>
    <row r="601" spans="1:8" x14ac:dyDescent="0.2">
      <c r="A601" s="322" t="s">
        <v>2306</v>
      </c>
      <c r="B601" s="322"/>
      <c r="C601" s="322"/>
      <c r="D601" s="322"/>
      <c r="E601" s="322"/>
      <c r="F601" s="322"/>
      <c r="G601" s="322"/>
      <c r="H601" s="322"/>
    </row>
    <row r="602" spans="1:8" x14ac:dyDescent="0.2">
      <c r="A602" s="43" t="s">
        <v>2307</v>
      </c>
    </row>
    <row r="604" spans="1:8" x14ac:dyDescent="0.2">
      <c r="B604" s="49" t="s">
        <v>1855</v>
      </c>
      <c r="C604" s="49" t="s">
        <v>1856</v>
      </c>
    </row>
    <row r="605" spans="1:8" x14ac:dyDescent="0.2">
      <c r="A605" s="47">
        <v>0</v>
      </c>
      <c r="B605" s="47">
        <v>-100</v>
      </c>
      <c r="C605" s="47">
        <v>-100</v>
      </c>
    </row>
    <row r="606" spans="1:8" x14ac:dyDescent="0.2">
      <c r="A606" s="47">
        <v>1</v>
      </c>
      <c r="B606" s="47">
        <v>40</v>
      </c>
      <c r="C606" s="47">
        <v>30</v>
      </c>
    </row>
    <row r="607" spans="1:8" x14ac:dyDescent="0.2">
      <c r="A607" s="47">
        <v>2</v>
      </c>
      <c r="B607" s="47">
        <v>30</v>
      </c>
      <c r="C607" s="47">
        <v>40</v>
      </c>
    </row>
    <row r="608" spans="1:8" x14ac:dyDescent="0.2">
      <c r="A608" s="47">
        <v>3</v>
      </c>
      <c r="B608" s="47">
        <v>40</v>
      </c>
      <c r="C608" s="47">
        <v>30</v>
      </c>
    </row>
    <row r="609" spans="1:8" x14ac:dyDescent="0.2">
      <c r="A609" s="47">
        <v>4</v>
      </c>
      <c r="B609" s="47">
        <v>30</v>
      </c>
      <c r="C609" s="47">
        <v>40</v>
      </c>
    </row>
    <row r="610" spans="1:8" x14ac:dyDescent="0.2">
      <c r="A610" s="47"/>
      <c r="B610" s="47"/>
      <c r="C610" s="47"/>
    </row>
    <row r="611" spans="1:8" x14ac:dyDescent="0.2">
      <c r="A611" s="47" t="s">
        <v>2308</v>
      </c>
      <c r="B611" s="54">
        <v>0.1</v>
      </c>
      <c r="C611" s="54">
        <v>0.1</v>
      </c>
    </row>
    <row r="612" spans="1:8" x14ac:dyDescent="0.2">
      <c r="A612" s="47" t="s">
        <v>2309</v>
      </c>
      <c r="B612" s="72">
        <f>C612</f>
        <v>0.1547</v>
      </c>
      <c r="C612" s="72">
        <v>0.1547</v>
      </c>
    </row>
    <row r="613" spans="1:8" x14ac:dyDescent="0.2">
      <c r="A613" s="47"/>
      <c r="B613" s="47"/>
      <c r="C613" s="47"/>
    </row>
    <row r="614" spans="1:8" x14ac:dyDescent="0.2">
      <c r="A614" s="47" t="s">
        <v>2310</v>
      </c>
      <c r="B614" s="340">
        <f>NPV(B611,B606:B609)+B605</f>
        <v>11.700020490403631</v>
      </c>
      <c r="C614" s="339">
        <f>NPV(C611,C606:C609)+C605</f>
        <v>10.190560754046828</v>
      </c>
      <c r="D614" s="43" t="s">
        <v>2311</v>
      </c>
    </row>
    <row r="615" spans="1:8" x14ac:dyDescent="0.2">
      <c r="A615" s="47" t="s">
        <v>2312</v>
      </c>
      <c r="B615" s="339">
        <f>NPV(B612,B606:B609)+B605</f>
        <v>-3.1167898822843654E-3</v>
      </c>
      <c r="C615" s="339">
        <f>NPV(C612,C606:C609)+C605</f>
        <v>-2.0335569947183672</v>
      </c>
      <c r="D615" s="43" t="s">
        <v>2313</v>
      </c>
    </row>
    <row r="616" spans="1:8" x14ac:dyDescent="0.2">
      <c r="A616" s="47"/>
      <c r="B616" s="47"/>
      <c r="C616" s="47"/>
    </row>
    <row r="617" spans="1:8" ht="16" thickBot="1" x14ac:dyDescent="0.25">
      <c r="A617" s="44" t="s">
        <v>2187</v>
      </c>
    </row>
    <row r="618" spans="1:8" x14ac:dyDescent="0.2">
      <c r="A618" s="321"/>
      <c r="B618" s="212"/>
      <c r="C618" s="212"/>
      <c r="D618" s="212"/>
      <c r="E618" s="212"/>
      <c r="F618" s="212"/>
      <c r="G618" s="212"/>
      <c r="H618" s="213"/>
    </row>
    <row r="619" spans="1:8" x14ac:dyDescent="0.2">
      <c r="A619" s="320"/>
      <c r="H619" s="215"/>
    </row>
    <row r="620" spans="1:8" x14ac:dyDescent="0.2">
      <c r="A620" s="320"/>
      <c r="H620" s="215"/>
    </row>
    <row r="621" spans="1:8" x14ac:dyDescent="0.2">
      <c r="A621" s="320"/>
      <c r="H621" s="215"/>
    </row>
    <row r="622" spans="1:8" x14ac:dyDescent="0.2">
      <c r="A622" s="320"/>
      <c r="H622" s="215"/>
    </row>
    <row r="623" spans="1:8" x14ac:dyDescent="0.2">
      <c r="A623" s="320"/>
      <c r="H623" s="215"/>
    </row>
    <row r="624" spans="1:8" x14ac:dyDescent="0.2">
      <c r="A624" s="320"/>
      <c r="H624" s="215"/>
    </row>
    <row r="625" spans="1:8" x14ac:dyDescent="0.2">
      <c r="A625" s="320"/>
      <c r="H625" s="215"/>
    </row>
    <row r="626" spans="1:8" x14ac:dyDescent="0.2">
      <c r="A626" s="320"/>
      <c r="H626" s="215"/>
    </row>
    <row r="627" spans="1:8" x14ac:dyDescent="0.2">
      <c r="A627" s="320"/>
      <c r="H627" s="215"/>
    </row>
    <row r="628" spans="1:8" ht="16" thickBot="1" x14ac:dyDescent="0.25">
      <c r="A628" s="234"/>
      <c r="B628" s="217"/>
      <c r="C628" s="217"/>
      <c r="D628" s="217"/>
      <c r="E628" s="217"/>
      <c r="F628" s="217"/>
      <c r="G628" s="217"/>
      <c r="H628" s="218"/>
    </row>
    <row r="632" spans="1:8" x14ac:dyDescent="0.2">
      <c r="A632" s="322" t="s">
        <v>2314</v>
      </c>
      <c r="B632" s="322"/>
      <c r="C632" s="322"/>
      <c r="D632" s="322"/>
      <c r="E632" s="322"/>
      <c r="F632" s="322"/>
      <c r="G632" s="322"/>
      <c r="H632" s="322"/>
    </row>
    <row r="645" spans="1:8" x14ac:dyDescent="0.2">
      <c r="A645" s="322" t="s">
        <v>2315</v>
      </c>
      <c r="B645" s="322"/>
      <c r="C645" s="322"/>
      <c r="D645" s="322"/>
      <c r="E645" s="322"/>
      <c r="F645" s="322"/>
      <c r="G645" s="322"/>
      <c r="H645" s="322"/>
    </row>
    <row r="646" spans="1:8" x14ac:dyDescent="0.2">
      <c r="A646" s="43" t="s">
        <v>2316</v>
      </c>
    </row>
    <row r="647" spans="1:8" x14ac:dyDescent="0.2">
      <c r="A647" s="43" t="s">
        <v>2317</v>
      </c>
    </row>
    <row r="648" spans="1:8" x14ac:dyDescent="0.2">
      <c r="A648" s="43" t="s">
        <v>2318</v>
      </c>
    </row>
    <row r="650" spans="1:8" ht="16" x14ac:dyDescent="0.2">
      <c r="D650" s="161">
        <v>3.0000000000000001E-3</v>
      </c>
      <c r="E650" s="92" t="s">
        <v>87</v>
      </c>
    </row>
    <row r="651" spans="1:8" ht="16" x14ac:dyDescent="0.2">
      <c r="D651" s="43">
        <f>25*12</f>
        <v>300</v>
      </c>
      <c r="E651" s="92" t="s">
        <v>89</v>
      </c>
    </row>
    <row r="652" spans="1:8" ht="16" x14ac:dyDescent="0.2">
      <c r="D652" s="74">
        <v>1000000</v>
      </c>
      <c r="E652" s="92" t="s">
        <v>281</v>
      </c>
    </row>
    <row r="653" spans="1:8" ht="16" x14ac:dyDescent="0.2">
      <c r="A653" s="43" t="s">
        <v>2319</v>
      </c>
      <c r="D653" s="341">
        <f>PMT(D650,D651,D652,D654,D655)</f>
        <v>-5060.0271243984489</v>
      </c>
      <c r="E653" s="92" t="s">
        <v>91</v>
      </c>
    </row>
    <row r="654" spans="1:8" ht="16" x14ac:dyDescent="0.2">
      <c r="D654" s="43">
        <v>0</v>
      </c>
      <c r="E654" s="92" t="s">
        <v>105</v>
      </c>
    </row>
    <row r="655" spans="1:8" ht="16" x14ac:dyDescent="0.2">
      <c r="D655" s="43">
        <v>0</v>
      </c>
      <c r="E655" s="92" t="s">
        <v>328</v>
      </c>
    </row>
    <row r="657" spans="1:8" ht="16" x14ac:dyDescent="0.2">
      <c r="D657" s="161">
        <v>3.0000000000000001E-3</v>
      </c>
      <c r="E657" s="92" t="s">
        <v>87</v>
      </c>
    </row>
    <row r="658" spans="1:8" ht="16" x14ac:dyDescent="0.2">
      <c r="D658" s="43">
        <f>300-120</f>
        <v>180</v>
      </c>
      <c r="E658" s="92" t="s">
        <v>89</v>
      </c>
    </row>
    <row r="659" spans="1:8" ht="16" x14ac:dyDescent="0.2">
      <c r="A659" s="43" t="s">
        <v>2320</v>
      </c>
      <c r="D659" s="342">
        <f>PV(D657,D658,D660,D661,D662)</f>
        <v>702973.49945856037</v>
      </c>
      <c r="E659" s="92" t="s">
        <v>281</v>
      </c>
    </row>
    <row r="660" spans="1:8" ht="16" x14ac:dyDescent="0.2">
      <c r="D660" s="341">
        <f>D653</f>
        <v>-5060.0271243984489</v>
      </c>
      <c r="E660" s="92" t="s">
        <v>91</v>
      </c>
    </row>
    <row r="661" spans="1:8" ht="16" x14ac:dyDescent="0.2">
      <c r="D661" s="43">
        <v>0</v>
      </c>
      <c r="E661" s="92" t="s">
        <v>105</v>
      </c>
    </row>
    <row r="662" spans="1:8" ht="16" x14ac:dyDescent="0.2">
      <c r="D662" s="43">
        <v>0</v>
      </c>
      <c r="E662" s="92" t="s">
        <v>328</v>
      </c>
    </row>
    <row r="663" spans="1:8" ht="16" x14ac:dyDescent="0.2">
      <c r="E663" s="92"/>
    </row>
    <row r="664" spans="1:8" x14ac:dyDescent="0.2">
      <c r="A664" s="43" t="s">
        <v>2321</v>
      </c>
    </row>
    <row r="665" spans="1:8" x14ac:dyDescent="0.2">
      <c r="A665" s="318">
        <f>D659*1.01^5*1.02^2*1^3</f>
        <v>768681.03428546432</v>
      </c>
      <c r="E665" s="43" t="s">
        <v>2322</v>
      </c>
    </row>
    <row r="667" spans="1:8" ht="16" thickBot="1" x14ac:dyDescent="0.25">
      <c r="A667" s="44" t="s">
        <v>2187</v>
      </c>
    </row>
    <row r="668" spans="1:8" x14ac:dyDescent="0.2">
      <c r="A668" s="321"/>
      <c r="B668" s="212"/>
      <c r="C668" s="212"/>
      <c r="D668" s="212"/>
      <c r="E668" s="212"/>
      <c r="F668" s="212"/>
      <c r="G668" s="212"/>
      <c r="H668" s="213"/>
    </row>
    <row r="669" spans="1:8" x14ac:dyDescent="0.2">
      <c r="A669" s="320"/>
      <c r="H669" s="215"/>
    </row>
    <row r="670" spans="1:8" x14ac:dyDescent="0.2">
      <c r="A670" s="320"/>
      <c r="H670" s="215"/>
    </row>
    <row r="671" spans="1:8" x14ac:dyDescent="0.2">
      <c r="A671" s="320"/>
      <c r="H671" s="215"/>
    </row>
    <row r="672" spans="1:8" x14ac:dyDescent="0.2">
      <c r="A672" s="320"/>
      <c r="H672" s="215"/>
    </row>
    <row r="673" spans="1:8" x14ac:dyDescent="0.2">
      <c r="A673" s="320"/>
      <c r="H673" s="215"/>
    </row>
    <row r="674" spans="1:8" x14ac:dyDescent="0.2">
      <c r="A674" s="320"/>
      <c r="H674" s="215"/>
    </row>
    <row r="675" spans="1:8" x14ac:dyDescent="0.2">
      <c r="A675" s="320"/>
      <c r="H675" s="215"/>
    </row>
    <row r="676" spans="1:8" x14ac:dyDescent="0.2">
      <c r="A676" s="320"/>
      <c r="H676" s="215"/>
    </row>
    <row r="677" spans="1:8" x14ac:dyDescent="0.2">
      <c r="A677" s="320"/>
      <c r="H677" s="215"/>
    </row>
    <row r="678" spans="1:8" ht="16" thickBot="1" x14ac:dyDescent="0.25">
      <c r="A678" s="234"/>
      <c r="B678" s="217"/>
      <c r="C678" s="217"/>
      <c r="D678" s="217"/>
      <c r="E678" s="217"/>
      <c r="F678" s="217"/>
      <c r="G678" s="217"/>
      <c r="H678" s="218"/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568A14-1912-B04F-B024-7ECA7126BF42}">
  <dimension ref="A1:I631"/>
  <sheetViews>
    <sheetView rightToLeft="1" topLeftCell="A12" zoomScale="380" zoomScaleNormal="380" workbookViewId="0">
      <selection activeCell="H4" sqref="H4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45" t="s">
        <v>47</v>
      </c>
      <c r="B1" s="46"/>
      <c r="C1" s="46"/>
      <c r="D1" s="46"/>
      <c r="E1" s="46"/>
      <c r="F1" s="46"/>
      <c r="G1" s="46"/>
      <c r="H1" s="348">
        <v>45742</v>
      </c>
    </row>
    <row r="3" spans="1:8" x14ac:dyDescent="0.2">
      <c r="A3" s="323" t="s">
        <v>48</v>
      </c>
      <c r="B3" s="323"/>
      <c r="C3" s="323"/>
      <c r="D3" s="323"/>
      <c r="E3" s="323"/>
      <c r="F3" s="323"/>
      <c r="G3" s="323"/>
      <c r="H3" s="323"/>
    </row>
    <row r="4" spans="1:8" x14ac:dyDescent="0.2">
      <c r="A4" s="43" t="s">
        <v>2426</v>
      </c>
    </row>
    <row r="5" spans="1:8" x14ac:dyDescent="0.2">
      <c r="A5" s="43" t="s">
        <v>49</v>
      </c>
    </row>
    <row r="6" spans="1:8" x14ac:dyDescent="0.2">
      <c r="A6" s="43" t="s">
        <v>2427</v>
      </c>
    </row>
    <row r="7" spans="1:8" x14ac:dyDescent="0.2">
      <c r="A7" s="43" t="s">
        <v>2428</v>
      </c>
    </row>
    <row r="9" spans="1:8" x14ac:dyDescent="0.2">
      <c r="A9" s="323" t="s">
        <v>50</v>
      </c>
      <c r="B9" s="323"/>
      <c r="C9" s="323"/>
      <c r="D9" s="323"/>
      <c r="E9" s="323"/>
      <c r="F9" s="323"/>
      <c r="G9" s="323"/>
      <c r="H9" s="323"/>
    </row>
    <row r="10" spans="1:8" x14ac:dyDescent="0.2">
      <c r="A10" s="43" t="s">
        <v>51</v>
      </c>
    </row>
    <row r="11" spans="1:8" x14ac:dyDescent="0.2">
      <c r="A11" s="43" t="s">
        <v>52</v>
      </c>
    </row>
    <row r="13" spans="1:8" x14ac:dyDescent="0.2">
      <c r="A13" s="323" t="s">
        <v>53</v>
      </c>
      <c r="B13" s="323"/>
      <c r="C13" s="323"/>
      <c r="D13" s="323"/>
      <c r="E13" s="323"/>
      <c r="F13" s="323"/>
      <c r="G13" s="323"/>
      <c r="H13" s="323"/>
    </row>
    <row r="14" spans="1:8" x14ac:dyDescent="0.2">
      <c r="A14" s="43" t="s">
        <v>54</v>
      </c>
    </row>
    <row r="15" spans="1:8" x14ac:dyDescent="0.2">
      <c r="A15" s="43" t="s">
        <v>55</v>
      </c>
    </row>
    <row r="16" spans="1:8" x14ac:dyDescent="0.2">
      <c r="A16" s="43" t="s">
        <v>56</v>
      </c>
    </row>
    <row r="17" spans="1:8" x14ac:dyDescent="0.2">
      <c r="A17" s="43" t="s">
        <v>57</v>
      </c>
    </row>
    <row r="19" spans="1:8" ht="21" x14ac:dyDescent="0.25">
      <c r="A19" s="568" t="s">
        <v>58</v>
      </c>
      <c r="B19" s="569"/>
      <c r="C19" s="569"/>
      <c r="D19" s="569"/>
      <c r="E19" s="569"/>
      <c r="F19" s="569"/>
      <c r="G19" s="569"/>
      <c r="H19" s="569"/>
    </row>
    <row r="20" spans="1:8" x14ac:dyDescent="0.2">
      <c r="A20" s="43" t="s">
        <v>59</v>
      </c>
    </row>
    <row r="21" spans="1:8" x14ac:dyDescent="0.2">
      <c r="A21" s="43" t="s">
        <v>60</v>
      </c>
    </row>
    <row r="22" spans="1:8" x14ac:dyDescent="0.2">
      <c r="A22" s="43" t="s">
        <v>61</v>
      </c>
    </row>
    <row r="24" spans="1:8" x14ac:dyDescent="0.2">
      <c r="A24" s="323" t="s">
        <v>62</v>
      </c>
      <c r="B24" s="323"/>
      <c r="C24" s="323"/>
      <c r="D24" s="323"/>
      <c r="E24" s="323"/>
      <c r="F24" s="323"/>
      <c r="G24" s="323"/>
      <c r="H24" s="323"/>
    </row>
    <row r="25" spans="1:8" x14ac:dyDescent="0.2">
      <c r="A25" s="44" t="s">
        <v>63</v>
      </c>
    </row>
    <row r="26" spans="1:8" x14ac:dyDescent="0.2">
      <c r="F26" s="43" t="s">
        <v>64</v>
      </c>
    </row>
    <row r="27" spans="1:8" x14ac:dyDescent="0.2">
      <c r="B27" s="43" t="s">
        <v>65</v>
      </c>
    </row>
    <row r="28" spans="1:8" x14ac:dyDescent="0.2">
      <c r="B28" s="43" t="s">
        <v>34</v>
      </c>
      <c r="C28" s="43" t="s">
        <v>66</v>
      </c>
    </row>
    <row r="29" spans="1:8" x14ac:dyDescent="0.2">
      <c r="B29" s="43" t="s">
        <v>67</v>
      </c>
      <c r="C29" s="43" t="s">
        <v>68</v>
      </c>
    </row>
    <row r="30" spans="1:8" x14ac:dyDescent="0.2">
      <c r="B30" s="43" t="s">
        <v>69</v>
      </c>
      <c r="C30" s="43" t="s">
        <v>70</v>
      </c>
    </row>
    <row r="32" spans="1:8" x14ac:dyDescent="0.2">
      <c r="A32" s="43" t="s">
        <v>71</v>
      </c>
    </row>
    <row r="34" spans="1:6" x14ac:dyDescent="0.2">
      <c r="A34" s="44" t="s">
        <v>72</v>
      </c>
    </row>
    <row r="35" spans="1:6" x14ac:dyDescent="0.2">
      <c r="F35" s="43" t="s">
        <v>73</v>
      </c>
    </row>
    <row r="36" spans="1:6" x14ac:dyDescent="0.2">
      <c r="B36" s="43" t="s">
        <v>65</v>
      </c>
    </row>
    <row r="37" spans="1:6" x14ac:dyDescent="0.2">
      <c r="B37" s="43" t="s">
        <v>34</v>
      </c>
      <c r="C37" s="43" t="s">
        <v>66</v>
      </c>
    </row>
    <row r="38" spans="1:6" x14ac:dyDescent="0.2">
      <c r="B38" s="43" t="s">
        <v>74</v>
      </c>
      <c r="C38" s="43" t="s">
        <v>75</v>
      </c>
    </row>
    <row r="39" spans="1:6" x14ac:dyDescent="0.2">
      <c r="B39" s="43" t="s">
        <v>76</v>
      </c>
      <c r="C39" s="43" t="s">
        <v>77</v>
      </c>
    </row>
    <row r="40" spans="1:6" x14ac:dyDescent="0.2">
      <c r="B40" s="43" t="s">
        <v>78</v>
      </c>
      <c r="C40" s="43" t="s">
        <v>79</v>
      </c>
    </row>
    <row r="41" spans="1:6" x14ac:dyDescent="0.2">
      <c r="B41" s="43" t="s">
        <v>80</v>
      </c>
      <c r="C41" s="43" t="s">
        <v>81</v>
      </c>
    </row>
    <row r="43" spans="1:6" x14ac:dyDescent="0.2">
      <c r="A43" s="43" t="s">
        <v>82</v>
      </c>
    </row>
    <row r="45" spans="1:6" x14ac:dyDescent="0.2">
      <c r="A45" s="44" t="s">
        <v>83</v>
      </c>
    </row>
    <row r="46" spans="1:6" x14ac:dyDescent="0.2">
      <c r="F46" s="43" t="s">
        <v>84</v>
      </c>
    </row>
    <row r="48" spans="1:6" x14ac:dyDescent="0.2">
      <c r="A48" s="44" t="s">
        <v>85</v>
      </c>
    </row>
    <row r="49" spans="1:6" x14ac:dyDescent="0.2">
      <c r="B49" s="43" t="s">
        <v>86</v>
      </c>
      <c r="F49" s="43" t="s">
        <v>87</v>
      </c>
    </row>
    <row r="50" spans="1:6" x14ac:dyDescent="0.2">
      <c r="B50" s="43" t="s">
        <v>88</v>
      </c>
      <c r="F50" s="43" t="s">
        <v>89</v>
      </c>
    </row>
    <row r="51" spans="1:6" x14ac:dyDescent="0.2">
      <c r="B51" s="43" t="s">
        <v>90</v>
      </c>
      <c r="F51" s="43" t="s">
        <v>91</v>
      </c>
    </row>
    <row r="52" spans="1:6" x14ac:dyDescent="0.2">
      <c r="B52" s="43" t="s">
        <v>92</v>
      </c>
      <c r="F52" s="43" t="s">
        <v>93</v>
      </c>
    </row>
    <row r="53" spans="1:6" x14ac:dyDescent="0.2">
      <c r="B53" s="43" t="s">
        <v>94</v>
      </c>
      <c r="F53" s="43" t="s">
        <v>95</v>
      </c>
    </row>
    <row r="55" spans="1:6" x14ac:dyDescent="0.2">
      <c r="B55" s="43" t="s">
        <v>96</v>
      </c>
      <c r="F55" s="149" t="s">
        <v>97</v>
      </c>
    </row>
    <row r="57" spans="1:6" x14ac:dyDescent="0.2">
      <c r="A57" s="44" t="s">
        <v>83</v>
      </c>
    </row>
    <row r="58" spans="1:6" x14ac:dyDescent="0.2">
      <c r="F58" s="43" t="s">
        <v>98</v>
      </c>
    </row>
    <row r="60" spans="1:6" x14ac:dyDescent="0.2">
      <c r="A60" s="44" t="s">
        <v>85</v>
      </c>
    </row>
    <row r="61" spans="1:6" x14ac:dyDescent="0.2">
      <c r="A61" s="43" t="s">
        <v>99</v>
      </c>
    </row>
    <row r="63" spans="1:6" x14ac:dyDescent="0.2">
      <c r="D63" s="43" t="s">
        <v>100</v>
      </c>
      <c r="E63" s="43" t="s">
        <v>101</v>
      </c>
    </row>
    <row r="64" spans="1:6" x14ac:dyDescent="0.2">
      <c r="D64" s="43" t="s">
        <v>102</v>
      </c>
      <c r="E64" s="43" t="s">
        <v>102</v>
      </c>
      <c r="F64" s="43" t="s">
        <v>87</v>
      </c>
    </row>
    <row r="65" spans="1:8" x14ac:dyDescent="0.2">
      <c r="D65" s="43" t="s">
        <v>102</v>
      </c>
      <c r="E65" s="43" t="s">
        <v>102</v>
      </c>
      <c r="F65" s="43" t="s">
        <v>89</v>
      </c>
    </row>
    <row r="66" spans="1:8" x14ac:dyDescent="0.2">
      <c r="D66" s="43" t="s">
        <v>102</v>
      </c>
      <c r="E66" s="43" t="s">
        <v>102</v>
      </c>
      <c r="F66" s="43" t="s">
        <v>91</v>
      </c>
    </row>
    <row r="67" spans="1:8" x14ac:dyDescent="0.2">
      <c r="D67" s="44" t="s">
        <v>103</v>
      </c>
      <c r="E67" s="43" t="s">
        <v>102</v>
      </c>
      <c r="F67" s="43" t="s">
        <v>93</v>
      </c>
    </row>
    <row r="68" spans="1:8" x14ac:dyDescent="0.2">
      <c r="D68" s="43" t="s">
        <v>102</v>
      </c>
      <c r="E68" s="43" t="s">
        <v>102</v>
      </c>
      <c r="F68" s="43" t="s">
        <v>95</v>
      </c>
    </row>
    <row r="69" spans="1:8" x14ac:dyDescent="0.2">
      <c r="D69" s="45" t="s">
        <v>104</v>
      </c>
      <c r="E69" s="44" t="s">
        <v>104</v>
      </c>
      <c r="F69" s="43" t="s">
        <v>105</v>
      </c>
    </row>
    <row r="71" spans="1:8" x14ac:dyDescent="0.2">
      <c r="A71" s="563" t="s">
        <v>2879</v>
      </c>
      <c r="B71" s="563"/>
      <c r="C71" s="563"/>
      <c r="D71" s="563"/>
      <c r="E71" s="563"/>
      <c r="F71" s="563"/>
      <c r="G71" s="563"/>
      <c r="H71" s="563"/>
    </row>
    <row r="72" spans="1:8" ht="16" thickBot="1" x14ac:dyDescent="0.25"/>
    <row r="73" spans="1:8" ht="16" thickBot="1" x14ac:dyDescent="0.25">
      <c r="A73" s="207" t="s">
        <v>2872</v>
      </c>
      <c r="B73" s="67"/>
      <c r="C73" s="67"/>
      <c r="D73" s="67"/>
      <c r="E73" s="67"/>
      <c r="F73" s="67"/>
      <c r="G73" s="67"/>
      <c r="H73" s="208"/>
    </row>
    <row r="75" spans="1:8" x14ac:dyDescent="0.2">
      <c r="A75" s="43" t="s">
        <v>2880</v>
      </c>
    </row>
    <row r="76" spans="1:8" x14ac:dyDescent="0.2">
      <c r="A76" s="43" t="s">
        <v>2881</v>
      </c>
    </row>
    <row r="78" spans="1:8" x14ac:dyDescent="0.2">
      <c r="A78" s="43" t="s">
        <v>111</v>
      </c>
    </row>
    <row r="80" spans="1:8" x14ac:dyDescent="0.2">
      <c r="A80" s="43" t="s">
        <v>2896</v>
      </c>
    </row>
    <row r="81" spans="1:8" x14ac:dyDescent="0.2">
      <c r="A81" s="43" t="s">
        <v>2897</v>
      </c>
    </row>
    <row r="83" spans="1:8" x14ac:dyDescent="0.2">
      <c r="F83" s="43" t="s">
        <v>2898</v>
      </c>
      <c r="H83" s="43" t="s">
        <v>2905</v>
      </c>
    </row>
    <row r="84" spans="1:8" x14ac:dyDescent="0.2">
      <c r="H84" s="43" t="s">
        <v>2906</v>
      </c>
    </row>
    <row r="85" spans="1:8" x14ac:dyDescent="0.2">
      <c r="H85" s="43" t="s">
        <v>2907</v>
      </c>
    </row>
    <row r="86" spans="1:8" x14ac:dyDescent="0.2">
      <c r="D86" s="43" t="s">
        <v>2908</v>
      </c>
      <c r="F86" s="43" t="s">
        <v>2899</v>
      </c>
    </row>
    <row r="87" spans="1:8" x14ac:dyDescent="0.2">
      <c r="D87" s="43" t="s">
        <v>2909</v>
      </c>
      <c r="F87" s="43" t="s">
        <v>2900</v>
      </c>
    </row>
    <row r="88" spans="1:8" x14ac:dyDescent="0.2">
      <c r="D88" s="43" t="s">
        <v>2910</v>
      </c>
      <c r="F88" s="43" t="s">
        <v>2901</v>
      </c>
    </row>
    <row r="89" spans="1:8" x14ac:dyDescent="0.2">
      <c r="D89" s="43" t="s">
        <v>2911</v>
      </c>
      <c r="F89" s="43" t="s">
        <v>2902</v>
      </c>
    </row>
    <row r="90" spans="1:8" x14ac:dyDescent="0.2">
      <c r="D90" s="43" t="s">
        <v>2912</v>
      </c>
      <c r="F90" s="43" t="s">
        <v>2903</v>
      </c>
    </row>
    <row r="91" spans="1:8" x14ac:dyDescent="0.2">
      <c r="D91" s="44" t="s">
        <v>2913</v>
      </c>
      <c r="F91" s="43" t="s">
        <v>2904</v>
      </c>
    </row>
    <row r="92" spans="1:8" x14ac:dyDescent="0.2">
      <c r="D92" s="43" t="s">
        <v>2916</v>
      </c>
    </row>
    <row r="93" spans="1:8" x14ac:dyDescent="0.2">
      <c r="D93" s="43" t="s">
        <v>2914</v>
      </c>
    </row>
    <row r="94" spans="1:8" x14ac:dyDescent="0.2">
      <c r="D94" s="43" t="s">
        <v>2915</v>
      </c>
    </row>
    <row r="95" spans="1:8" x14ac:dyDescent="0.2">
      <c r="D95" s="43" t="s">
        <v>70</v>
      </c>
    </row>
    <row r="96" spans="1:8" x14ac:dyDescent="0.2">
      <c r="H96" s="43" t="s">
        <v>2918</v>
      </c>
    </row>
    <row r="97" spans="1:8" x14ac:dyDescent="0.2">
      <c r="F97" s="43" t="s">
        <v>2917</v>
      </c>
      <c r="H97" s="43" t="s">
        <v>2919</v>
      </c>
    </row>
    <row r="99" spans="1:8" x14ac:dyDescent="0.2">
      <c r="A99" s="44" t="s">
        <v>2873</v>
      </c>
    </row>
    <row r="101" spans="1:8" x14ac:dyDescent="0.2">
      <c r="A101" s="43" t="s">
        <v>2882</v>
      </c>
    </row>
    <row r="102" spans="1:8" x14ac:dyDescent="0.2">
      <c r="A102" s="43" t="s">
        <v>2883</v>
      </c>
    </row>
    <row r="104" spans="1:8" x14ac:dyDescent="0.2">
      <c r="D104" s="48">
        <f>50000*(1+7%*3+9%*5)</f>
        <v>83000</v>
      </c>
      <c r="G104" s="43" t="s">
        <v>2920</v>
      </c>
    </row>
    <row r="107" spans="1:8" x14ac:dyDescent="0.2">
      <c r="E107" s="43" t="s">
        <v>2924</v>
      </c>
      <c r="G107" s="43" t="s">
        <v>2921</v>
      </c>
    </row>
    <row r="108" spans="1:8" x14ac:dyDescent="0.2">
      <c r="E108" s="43" t="s">
        <v>2925</v>
      </c>
      <c r="G108" s="43" t="s">
        <v>2922</v>
      </c>
    </row>
    <row r="109" spans="1:8" x14ac:dyDescent="0.2">
      <c r="E109" s="43" t="s">
        <v>2926</v>
      </c>
      <c r="G109" s="43" t="s">
        <v>2923</v>
      </c>
    </row>
    <row r="110" spans="1:8" x14ac:dyDescent="0.2">
      <c r="E110" s="43" t="s">
        <v>2927</v>
      </c>
    </row>
    <row r="111" spans="1:8" x14ac:dyDescent="0.2">
      <c r="E111" s="43" t="s">
        <v>2928</v>
      </c>
    </row>
    <row r="112" spans="1:8" x14ac:dyDescent="0.2">
      <c r="E112" s="43" t="s">
        <v>2929</v>
      </c>
    </row>
    <row r="114" spans="1:7" x14ac:dyDescent="0.2">
      <c r="G114" s="43" t="s">
        <v>2930</v>
      </c>
    </row>
    <row r="117" spans="1:7" x14ac:dyDescent="0.2">
      <c r="E117" s="43" t="s">
        <v>2933</v>
      </c>
      <c r="G117" s="43" t="s">
        <v>2931</v>
      </c>
    </row>
    <row r="118" spans="1:7" x14ac:dyDescent="0.2">
      <c r="E118" s="43" t="s">
        <v>2934</v>
      </c>
      <c r="G118" s="43" t="s">
        <v>2932</v>
      </c>
    </row>
    <row r="119" spans="1:7" x14ac:dyDescent="0.2">
      <c r="E119" s="43" t="s">
        <v>2935</v>
      </c>
    </row>
    <row r="120" spans="1:7" x14ac:dyDescent="0.2">
      <c r="E120" s="43" t="s">
        <v>2936</v>
      </c>
    </row>
    <row r="121" spans="1:7" x14ac:dyDescent="0.2">
      <c r="E121" s="43" t="s">
        <v>2937</v>
      </c>
    </row>
    <row r="122" spans="1:7" x14ac:dyDescent="0.2">
      <c r="E122" s="43" t="s">
        <v>2938</v>
      </c>
    </row>
    <row r="124" spans="1:7" x14ac:dyDescent="0.2">
      <c r="A124" s="44" t="s">
        <v>2874</v>
      </c>
    </row>
    <row r="126" spans="1:7" x14ac:dyDescent="0.2">
      <c r="A126" s="43" t="s">
        <v>2884</v>
      </c>
    </row>
    <row r="127" spans="1:7" x14ac:dyDescent="0.2">
      <c r="A127" s="43" t="s">
        <v>2885</v>
      </c>
    </row>
    <row r="129" spans="1:6" x14ac:dyDescent="0.2">
      <c r="A129" s="43" t="s">
        <v>111</v>
      </c>
    </row>
    <row r="131" spans="1:6" x14ac:dyDescent="0.2">
      <c r="A131" s="43" t="s">
        <v>2939</v>
      </c>
    </row>
    <row r="132" spans="1:6" x14ac:dyDescent="0.2">
      <c r="A132" s="43" t="s">
        <v>2940</v>
      </c>
    </row>
    <row r="134" spans="1:6" x14ac:dyDescent="0.2">
      <c r="F134" s="43" t="s">
        <v>2941</v>
      </c>
    </row>
    <row r="136" spans="1:6" x14ac:dyDescent="0.2">
      <c r="A136" s="43" t="s">
        <v>2942</v>
      </c>
    </row>
    <row r="137" spans="1:6" x14ac:dyDescent="0.2">
      <c r="A137" s="43" t="s">
        <v>2943</v>
      </c>
    </row>
    <row r="138" spans="1:6" x14ac:dyDescent="0.2">
      <c r="A138" s="43" t="s">
        <v>2944</v>
      </c>
    </row>
    <row r="139" spans="1:6" x14ac:dyDescent="0.2">
      <c r="A139" s="43" t="s">
        <v>2945</v>
      </c>
    </row>
    <row r="141" spans="1:6" x14ac:dyDescent="0.2">
      <c r="A141" s="43" t="s">
        <v>2946</v>
      </c>
    </row>
    <row r="142" spans="1:6" x14ac:dyDescent="0.2">
      <c r="D142" s="74">
        <f>90000*1.05^10</f>
        <v>146600.51640996974</v>
      </c>
      <c r="F142" s="43" t="s">
        <v>2947</v>
      </c>
    </row>
    <row r="145" spans="1:8" x14ac:dyDescent="0.2">
      <c r="D145" s="43" t="s">
        <v>2950</v>
      </c>
      <c r="F145" s="43" t="s">
        <v>2948</v>
      </c>
    </row>
    <row r="146" spans="1:8" x14ac:dyDescent="0.2">
      <c r="D146" s="43" t="s">
        <v>2951</v>
      </c>
      <c r="F146" s="43" t="s">
        <v>2949</v>
      </c>
    </row>
    <row r="147" spans="1:8" x14ac:dyDescent="0.2">
      <c r="D147" s="43" t="s">
        <v>2952</v>
      </c>
    </row>
    <row r="148" spans="1:8" x14ac:dyDescent="0.2">
      <c r="D148" s="43" t="s">
        <v>2953</v>
      </c>
    </row>
    <row r="149" spans="1:8" x14ac:dyDescent="0.2">
      <c r="D149" s="43" t="s">
        <v>2954</v>
      </c>
      <c r="H149" s="43" t="s">
        <v>2956</v>
      </c>
    </row>
    <row r="150" spans="1:8" x14ac:dyDescent="0.2">
      <c r="H150" s="43" t="s">
        <v>2957</v>
      </c>
    </row>
    <row r="151" spans="1:8" x14ac:dyDescent="0.2">
      <c r="F151" s="43" t="s">
        <v>2955</v>
      </c>
      <c r="H151" s="43" t="s">
        <v>2958</v>
      </c>
    </row>
    <row r="152" spans="1:8" x14ac:dyDescent="0.2">
      <c r="H152" s="43" t="s">
        <v>2959</v>
      </c>
    </row>
    <row r="153" spans="1:8" x14ac:dyDescent="0.2">
      <c r="H153" s="43" t="s">
        <v>2960</v>
      </c>
    </row>
    <row r="155" spans="1:8" x14ac:dyDescent="0.2">
      <c r="A155" s="43" t="s">
        <v>2961</v>
      </c>
    </row>
    <row r="157" spans="1:8" x14ac:dyDescent="0.2">
      <c r="E157" s="54">
        <v>0.05</v>
      </c>
      <c r="F157" s="43" t="s">
        <v>87</v>
      </c>
      <c r="G157" s="43" t="s">
        <v>2962</v>
      </c>
    </row>
    <row r="158" spans="1:8" x14ac:dyDescent="0.2">
      <c r="E158" s="47">
        <v>10</v>
      </c>
      <c r="F158" s="43" t="s">
        <v>89</v>
      </c>
      <c r="G158" s="43" t="s">
        <v>2963</v>
      </c>
    </row>
    <row r="159" spans="1:8" x14ac:dyDescent="0.2">
      <c r="E159" s="48">
        <v>0</v>
      </c>
      <c r="F159" s="43" t="s">
        <v>91</v>
      </c>
      <c r="G159" s="43" t="s">
        <v>2964</v>
      </c>
    </row>
    <row r="160" spans="1:8" x14ac:dyDescent="0.2">
      <c r="A160" s="43" t="s">
        <v>2967</v>
      </c>
      <c r="E160" s="48">
        <v>-90000</v>
      </c>
      <c r="F160" s="43" t="s">
        <v>281</v>
      </c>
      <c r="G160" s="43" t="s">
        <v>2965</v>
      </c>
    </row>
    <row r="161" spans="1:7" x14ac:dyDescent="0.2">
      <c r="D161" s="43" t="s">
        <v>1555</v>
      </c>
      <c r="E161" s="150">
        <f>FV(E157,E158,E159,E160)</f>
        <v>146600.51640996974</v>
      </c>
      <c r="F161" s="43" t="s">
        <v>105</v>
      </c>
      <c r="G161" s="43" t="s">
        <v>2966</v>
      </c>
    </row>
    <row r="163" spans="1:7" x14ac:dyDescent="0.2">
      <c r="A163" s="43" t="s">
        <v>2968</v>
      </c>
    </row>
    <row r="164" spans="1:7" x14ac:dyDescent="0.2">
      <c r="A164" s="43" t="s">
        <v>2969</v>
      </c>
    </row>
    <row r="166" spans="1:7" x14ac:dyDescent="0.2">
      <c r="A166" s="44" t="s">
        <v>2875</v>
      </c>
    </row>
    <row r="168" spans="1:7" x14ac:dyDescent="0.2">
      <c r="A168" s="43" t="s">
        <v>2889</v>
      </c>
    </row>
    <row r="169" spans="1:7" x14ac:dyDescent="0.2">
      <c r="A169" s="43" t="s">
        <v>2886</v>
      </c>
    </row>
    <row r="170" spans="1:7" x14ac:dyDescent="0.2">
      <c r="A170" s="43" t="s">
        <v>2887</v>
      </c>
    </row>
    <row r="172" spans="1:7" x14ac:dyDescent="0.2">
      <c r="A172" s="43" t="s">
        <v>111</v>
      </c>
    </row>
    <row r="174" spans="1:7" x14ac:dyDescent="0.2">
      <c r="B174" s="48">
        <f>20000 * (1 + 4%)^3 * (1 + 8%)^4 * (1 + 10%)^2</f>
        <v>37034.834294734865</v>
      </c>
      <c r="F174" s="43" t="s">
        <v>2970</v>
      </c>
    </row>
    <row r="176" spans="1:7" x14ac:dyDescent="0.2">
      <c r="F176" s="43" t="s">
        <v>2971</v>
      </c>
    </row>
    <row r="178" spans="1:6" x14ac:dyDescent="0.2">
      <c r="A178" s="43" t="s">
        <v>2972</v>
      </c>
    </row>
    <row r="180" spans="1:6" x14ac:dyDescent="0.2">
      <c r="B180" s="47" t="s">
        <v>994</v>
      </c>
      <c r="C180" s="47" t="s">
        <v>771</v>
      </c>
      <c r="D180" s="47" t="s">
        <v>772</v>
      </c>
    </row>
    <row r="181" spans="1:6" x14ac:dyDescent="0.2">
      <c r="B181" s="49" t="s">
        <v>2975</v>
      </c>
      <c r="C181" s="49" t="s">
        <v>2974</v>
      </c>
      <c r="D181" s="49" t="s">
        <v>2973</v>
      </c>
    </row>
    <row r="182" spans="1:6" x14ac:dyDescent="0.2">
      <c r="B182" s="54">
        <v>0.1</v>
      </c>
      <c r="C182" s="54">
        <v>0.08</v>
      </c>
      <c r="D182" s="54">
        <v>0.04</v>
      </c>
      <c r="E182" s="43" t="s">
        <v>87</v>
      </c>
      <c r="F182" s="43" t="s">
        <v>2962</v>
      </c>
    </row>
    <row r="183" spans="1:6" x14ac:dyDescent="0.2">
      <c r="B183" s="47">
        <v>2</v>
      </c>
      <c r="C183" s="47">
        <v>4</v>
      </c>
      <c r="D183" s="47">
        <v>3</v>
      </c>
      <c r="E183" s="43" t="s">
        <v>89</v>
      </c>
      <c r="F183" s="43" t="s">
        <v>2963</v>
      </c>
    </row>
    <row r="184" spans="1:6" x14ac:dyDescent="0.2">
      <c r="B184" s="47">
        <v>0</v>
      </c>
      <c r="C184" s="47">
        <v>0</v>
      </c>
      <c r="D184" s="47">
        <v>0</v>
      </c>
      <c r="E184" s="43" t="s">
        <v>91</v>
      </c>
      <c r="F184" s="43" t="s">
        <v>2964</v>
      </c>
    </row>
    <row r="185" spans="1:6" x14ac:dyDescent="0.2">
      <c r="B185" s="328">
        <f>-C186</f>
        <v>-30607.30107002881</v>
      </c>
      <c r="C185" s="560">
        <f>-D186</f>
        <v>-22497.280000000002</v>
      </c>
      <c r="D185" s="48">
        <v>-20000</v>
      </c>
      <c r="E185" s="43" t="s">
        <v>281</v>
      </c>
      <c r="F185" s="43" t="s">
        <v>2965</v>
      </c>
    </row>
    <row r="186" spans="1:6" x14ac:dyDescent="0.2">
      <c r="B186" s="150">
        <f>FV(B182,B183,B184,B185)</f>
        <v>37034.834294734865</v>
      </c>
      <c r="C186" s="328">
        <f>FV(C182,C183,C184,C185)</f>
        <v>30607.30107002881</v>
      </c>
      <c r="D186" s="560">
        <f>FV(D182,D183,D184,D185)</f>
        <v>22497.280000000002</v>
      </c>
      <c r="E186" s="43" t="s">
        <v>105</v>
      </c>
      <c r="F186" s="43" t="s">
        <v>2966</v>
      </c>
    </row>
    <row r="188" spans="1:6" x14ac:dyDescent="0.2">
      <c r="A188" s="43" t="s">
        <v>2976</v>
      </c>
    </row>
    <row r="189" spans="1:6" x14ac:dyDescent="0.2">
      <c r="A189" s="43" t="s">
        <v>2977</v>
      </c>
    </row>
    <row r="190" spans="1:6" x14ac:dyDescent="0.2">
      <c r="A190" s="43" t="s">
        <v>2978</v>
      </c>
    </row>
    <row r="191" spans="1:6" x14ac:dyDescent="0.2">
      <c r="A191" s="43" t="s">
        <v>2979</v>
      </c>
    </row>
    <row r="192" spans="1:6" x14ac:dyDescent="0.2">
      <c r="A192" s="43" t="s">
        <v>2980</v>
      </c>
    </row>
    <row r="193" spans="1:7" x14ac:dyDescent="0.2">
      <c r="A193" s="43" t="s">
        <v>2981</v>
      </c>
    </row>
    <row r="195" spans="1:7" x14ac:dyDescent="0.2">
      <c r="A195" s="44" t="s">
        <v>2876</v>
      </c>
    </row>
    <row r="197" spans="1:7" x14ac:dyDescent="0.2">
      <c r="A197" s="43" t="s">
        <v>2985</v>
      </c>
    </row>
    <row r="198" spans="1:7" x14ac:dyDescent="0.2">
      <c r="A198" s="43" t="s">
        <v>2984</v>
      </c>
    </row>
    <row r="199" spans="1:7" x14ac:dyDescent="0.2">
      <c r="A199" s="43" t="s">
        <v>2888</v>
      </c>
    </row>
    <row r="201" spans="1:7" x14ac:dyDescent="0.2">
      <c r="C201" s="47"/>
      <c r="D201" s="47" t="s">
        <v>771</v>
      </c>
      <c r="E201" s="47" t="s">
        <v>772</v>
      </c>
    </row>
    <row r="202" spans="1:7" x14ac:dyDescent="0.2">
      <c r="A202" s="43" t="s">
        <v>2986</v>
      </c>
      <c r="C202" s="47"/>
      <c r="D202" s="49" t="s">
        <v>2983</v>
      </c>
      <c r="E202" s="49" t="s">
        <v>2982</v>
      </c>
    </row>
    <row r="203" spans="1:7" x14ac:dyDescent="0.2">
      <c r="A203" s="43" t="s">
        <v>2987</v>
      </c>
      <c r="C203" s="54"/>
      <c r="D203" s="54">
        <v>0.03</v>
      </c>
      <c r="E203" s="54">
        <v>0.01</v>
      </c>
      <c r="F203" s="43" t="s">
        <v>87</v>
      </c>
      <c r="G203" s="43" t="s">
        <v>2962</v>
      </c>
    </row>
    <row r="204" spans="1:7" x14ac:dyDescent="0.2">
      <c r="A204" s="43" t="s">
        <v>2988</v>
      </c>
      <c r="C204" s="47"/>
      <c r="D204" s="121">
        <f>6*12</f>
        <v>72</v>
      </c>
      <c r="E204" s="47">
        <v>4</v>
      </c>
      <c r="F204" s="43" t="s">
        <v>89</v>
      </c>
      <c r="G204" s="43" t="s">
        <v>2963</v>
      </c>
    </row>
    <row r="205" spans="1:7" x14ac:dyDescent="0.2">
      <c r="C205" s="47"/>
      <c r="D205" s="47">
        <v>0</v>
      </c>
      <c r="E205" s="47">
        <v>0</v>
      </c>
      <c r="F205" s="43" t="s">
        <v>91</v>
      </c>
      <c r="G205" s="43" t="s">
        <v>2964</v>
      </c>
    </row>
    <row r="206" spans="1:7" x14ac:dyDescent="0.2">
      <c r="C206" s="48"/>
      <c r="D206" s="560">
        <f>-E207</f>
        <v>-20812.0802</v>
      </c>
      <c r="E206" s="48">
        <v>-20000</v>
      </c>
      <c r="F206" s="43" t="s">
        <v>281</v>
      </c>
      <c r="G206" s="43" t="s">
        <v>2965</v>
      </c>
    </row>
    <row r="207" spans="1:7" x14ac:dyDescent="0.2">
      <c r="C207" s="48"/>
      <c r="D207" s="655">
        <f>FV(D203,D204,D205,D206)</f>
        <v>174821.83303323836</v>
      </c>
      <c r="E207" s="560">
        <f>FV(E203,E204,E205,E206)</f>
        <v>20812.0802</v>
      </c>
      <c r="F207" s="43" t="s">
        <v>105</v>
      </c>
      <c r="G207" s="43" t="s">
        <v>2966</v>
      </c>
    </row>
    <row r="208" spans="1:7" x14ac:dyDescent="0.2">
      <c r="C208" s="48"/>
      <c r="D208" s="48"/>
      <c r="E208" s="48"/>
    </row>
    <row r="209" spans="1:6" x14ac:dyDescent="0.2">
      <c r="C209" s="48"/>
      <c r="D209" s="48"/>
      <c r="E209" s="48"/>
    </row>
    <row r="210" spans="1:6" x14ac:dyDescent="0.2">
      <c r="A210" s="44" t="s">
        <v>2877</v>
      </c>
    </row>
    <row r="212" spans="1:6" x14ac:dyDescent="0.2">
      <c r="A212" s="43" t="s">
        <v>2890</v>
      </c>
    </row>
    <row r="213" spans="1:6" x14ac:dyDescent="0.2">
      <c r="A213" s="43" t="s">
        <v>2891</v>
      </c>
    </row>
    <row r="215" spans="1:6" x14ac:dyDescent="0.2">
      <c r="A215" s="43" t="s">
        <v>2990</v>
      </c>
      <c r="E215" s="43" t="s">
        <v>2989</v>
      </c>
    </row>
    <row r="217" spans="1:6" x14ac:dyDescent="0.2">
      <c r="A217" s="43" t="s">
        <v>2991</v>
      </c>
    </row>
    <row r="219" spans="1:6" x14ac:dyDescent="0.2">
      <c r="C219" s="43" t="s">
        <v>196</v>
      </c>
      <c r="E219" s="656">
        <f>RATE(E220,E221,E222,E223)</f>
        <v>4.8432743583488543E-2</v>
      </c>
      <c r="F219" s="43" t="s">
        <v>87</v>
      </c>
    </row>
    <row r="220" spans="1:6" x14ac:dyDescent="0.2">
      <c r="E220" s="47">
        <v>9</v>
      </c>
      <c r="F220" s="43" t="s">
        <v>89</v>
      </c>
    </row>
    <row r="221" spans="1:6" x14ac:dyDescent="0.2">
      <c r="E221" s="47">
        <v>0</v>
      </c>
      <c r="F221" s="43" t="s">
        <v>91</v>
      </c>
    </row>
    <row r="222" spans="1:6" x14ac:dyDescent="0.2">
      <c r="E222" s="47">
        <v>-98000</v>
      </c>
      <c r="F222" s="43" t="s">
        <v>281</v>
      </c>
    </row>
    <row r="223" spans="1:6" x14ac:dyDescent="0.2">
      <c r="E223" s="47">
        <v>150000</v>
      </c>
      <c r="F223" s="43" t="s">
        <v>105</v>
      </c>
    </row>
    <row r="234" spans="1:1" x14ac:dyDescent="0.2">
      <c r="A234" s="44" t="s">
        <v>2878</v>
      </c>
    </row>
    <row r="236" spans="1:1" x14ac:dyDescent="0.2">
      <c r="A236" s="43" t="s">
        <v>2892</v>
      </c>
    </row>
    <row r="237" spans="1:1" x14ac:dyDescent="0.2">
      <c r="A237" s="43" t="s">
        <v>2893</v>
      </c>
    </row>
    <row r="238" spans="1:1" x14ac:dyDescent="0.2">
      <c r="A238" s="43" t="s">
        <v>2894</v>
      </c>
    </row>
    <row r="256" spans="1:1" x14ac:dyDescent="0.2">
      <c r="A256" s="44" t="s">
        <v>2895</v>
      </c>
    </row>
    <row r="261" spans="1:8" x14ac:dyDescent="0.2">
      <c r="A261" s="158" t="s">
        <v>2429</v>
      </c>
      <c r="B261" s="158"/>
      <c r="C261" s="158"/>
      <c r="D261" s="158"/>
      <c r="E261" s="158"/>
      <c r="F261" s="158" t="s">
        <v>106</v>
      </c>
      <c r="G261" s="158"/>
      <c r="H261" s="158"/>
    </row>
    <row r="262" spans="1:8" x14ac:dyDescent="0.2">
      <c r="A262" s="43" t="s">
        <v>107</v>
      </c>
    </row>
    <row r="263" spans="1:8" x14ac:dyDescent="0.2">
      <c r="A263" s="43" t="s">
        <v>108</v>
      </c>
    </row>
    <row r="264" spans="1:8" x14ac:dyDescent="0.2">
      <c r="A264" s="43" t="s">
        <v>109</v>
      </c>
    </row>
    <row r="265" spans="1:8" x14ac:dyDescent="0.2">
      <c r="A265" s="43" t="s">
        <v>110</v>
      </c>
    </row>
    <row r="267" spans="1:8" x14ac:dyDescent="0.2">
      <c r="A267" s="43" t="s">
        <v>111</v>
      </c>
    </row>
    <row r="268" spans="1:8" x14ac:dyDescent="0.2">
      <c r="A268" s="43" t="s">
        <v>2430</v>
      </c>
    </row>
    <row r="269" spans="1:8" x14ac:dyDescent="0.2">
      <c r="A269" s="43" t="s">
        <v>2431</v>
      </c>
    </row>
    <row r="271" spans="1:8" x14ac:dyDescent="0.2">
      <c r="B271" s="43" t="s">
        <v>112</v>
      </c>
      <c r="G271" s="47" t="s">
        <v>113</v>
      </c>
    </row>
    <row r="272" spans="1:8" x14ac:dyDescent="0.2">
      <c r="B272" s="47">
        <v>5</v>
      </c>
      <c r="C272" s="47">
        <v>4</v>
      </c>
      <c r="D272" s="47">
        <v>3</v>
      </c>
      <c r="E272" s="47">
        <v>2</v>
      </c>
      <c r="F272" s="47">
        <v>1</v>
      </c>
      <c r="G272" s="47">
        <v>0</v>
      </c>
    </row>
    <row r="274" spans="1:7" x14ac:dyDescent="0.2">
      <c r="B274" s="47" t="s">
        <v>114</v>
      </c>
      <c r="G274" s="47" t="s">
        <v>115</v>
      </c>
    </row>
    <row r="275" spans="1:7" x14ac:dyDescent="0.2">
      <c r="B275" s="47" t="s">
        <v>116</v>
      </c>
      <c r="G275" s="48">
        <v>500000</v>
      </c>
    </row>
    <row r="276" spans="1:7" x14ac:dyDescent="0.2">
      <c r="B276" s="47" t="s">
        <v>117</v>
      </c>
      <c r="D276" s="721" t="s">
        <v>2432</v>
      </c>
      <c r="E276" s="721"/>
      <c r="G276" s="47" t="s">
        <v>118</v>
      </c>
    </row>
    <row r="277" spans="1:7" x14ac:dyDescent="0.2">
      <c r="B277" s="47" t="s">
        <v>119</v>
      </c>
      <c r="G277" s="47" t="s">
        <v>120</v>
      </c>
    </row>
    <row r="278" spans="1:7" x14ac:dyDescent="0.2">
      <c r="B278" s="47"/>
    </row>
    <row r="279" spans="1:7" x14ac:dyDescent="0.2">
      <c r="A279" s="43" t="s">
        <v>2433</v>
      </c>
      <c r="B279" s="47"/>
    </row>
    <row r="280" spans="1:7" x14ac:dyDescent="0.2">
      <c r="B280" s="48">
        <f>500000*1.3</f>
        <v>650000</v>
      </c>
      <c r="F280" s="43" t="s">
        <v>121</v>
      </c>
    </row>
    <row r="282" spans="1:7" x14ac:dyDescent="0.2">
      <c r="A282" s="43" t="s">
        <v>2435</v>
      </c>
      <c r="D282" s="43" t="s">
        <v>2434</v>
      </c>
    </row>
    <row r="283" spans="1:7" x14ac:dyDescent="0.2">
      <c r="A283" s="43" t="s">
        <v>2436</v>
      </c>
    </row>
    <row r="285" spans="1:7" x14ac:dyDescent="0.2">
      <c r="A285" s="43" t="s">
        <v>122</v>
      </c>
      <c r="C285" s="46"/>
      <c r="D285" s="45"/>
      <c r="E285" s="45"/>
      <c r="F285" s="45" t="s">
        <v>64</v>
      </c>
    </row>
    <row r="286" spans="1:7" x14ac:dyDescent="0.2">
      <c r="D286" s="44"/>
      <c r="E286" s="44"/>
      <c r="F286" s="44"/>
    </row>
    <row r="287" spans="1:7" x14ac:dyDescent="0.2">
      <c r="D287" s="44" t="s">
        <v>2439</v>
      </c>
      <c r="E287" s="44" t="s">
        <v>2438</v>
      </c>
      <c r="F287" s="44" t="s">
        <v>2437</v>
      </c>
      <c r="G287" s="44" t="s">
        <v>117</v>
      </c>
    </row>
    <row r="288" spans="1:7" x14ac:dyDescent="0.2">
      <c r="D288" s="44"/>
      <c r="E288" s="44"/>
      <c r="F288" s="44"/>
    </row>
    <row r="289" spans="1:8" x14ac:dyDescent="0.2">
      <c r="B289" s="43" t="s">
        <v>65</v>
      </c>
    </row>
    <row r="290" spans="1:8" x14ac:dyDescent="0.2">
      <c r="A290" s="43" t="s">
        <v>2440</v>
      </c>
      <c r="B290" s="43" t="s">
        <v>34</v>
      </c>
      <c r="C290" s="43" t="s">
        <v>66</v>
      </c>
    </row>
    <row r="291" spans="1:8" x14ac:dyDescent="0.2">
      <c r="B291" s="43" t="s">
        <v>67</v>
      </c>
      <c r="C291" s="43" t="s">
        <v>68</v>
      </c>
    </row>
    <row r="292" spans="1:8" x14ac:dyDescent="0.2">
      <c r="B292" s="43" t="s">
        <v>69</v>
      </c>
      <c r="C292" s="43" t="s">
        <v>70</v>
      </c>
    </row>
    <row r="294" spans="1:8" x14ac:dyDescent="0.2">
      <c r="A294" s="158" t="s">
        <v>2441</v>
      </c>
      <c r="B294" s="158"/>
      <c r="C294" s="158"/>
      <c r="D294" s="158"/>
      <c r="E294" s="158"/>
      <c r="F294" s="158" t="s">
        <v>123</v>
      </c>
      <c r="G294" s="158"/>
      <c r="H294" s="347"/>
    </row>
    <row r="295" spans="1:8" x14ac:dyDescent="0.2">
      <c r="A295" s="43" t="s">
        <v>124</v>
      </c>
    </row>
    <row r="296" spans="1:8" x14ac:dyDescent="0.2">
      <c r="A296" s="43" t="s">
        <v>2442</v>
      </c>
    </row>
    <row r="297" spans="1:8" x14ac:dyDescent="0.2">
      <c r="A297" s="43" t="s">
        <v>125</v>
      </c>
    </row>
    <row r="298" spans="1:8" x14ac:dyDescent="0.2">
      <c r="A298" s="43" t="s">
        <v>126</v>
      </c>
    </row>
    <row r="300" spans="1:8" x14ac:dyDescent="0.2">
      <c r="A300" s="43" t="s">
        <v>111</v>
      </c>
    </row>
    <row r="301" spans="1:8" x14ac:dyDescent="0.2">
      <c r="D301" s="43" t="s">
        <v>112</v>
      </c>
      <c r="G301" s="47" t="s">
        <v>113</v>
      </c>
    </row>
    <row r="302" spans="1:8" x14ac:dyDescent="0.2">
      <c r="B302" s="47"/>
      <c r="C302" s="47"/>
      <c r="D302" s="47">
        <v>3</v>
      </c>
      <c r="E302" s="47">
        <v>2</v>
      </c>
      <c r="F302" s="47">
        <v>1</v>
      </c>
      <c r="G302" s="47">
        <v>0</v>
      </c>
    </row>
    <row r="304" spans="1:8" x14ac:dyDescent="0.2">
      <c r="D304" s="47" t="s">
        <v>114</v>
      </c>
      <c r="G304" s="47" t="s">
        <v>127</v>
      </c>
    </row>
    <row r="305" spans="1:7" x14ac:dyDescent="0.2">
      <c r="D305" s="47" t="s">
        <v>116</v>
      </c>
      <c r="G305" s="48">
        <v>100000</v>
      </c>
    </row>
    <row r="306" spans="1:7" x14ac:dyDescent="0.2">
      <c r="D306" s="47" t="s">
        <v>117</v>
      </c>
      <c r="G306" s="47" t="s">
        <v>118</v>
      </c>
    </row>
    <row r="307" spans="1:7" x14ac:dyDescent="0.2">
      <c r="D307" s="47" t="s">
        <v>119</v>
      </c>
      <c r="G307" s="47" t="s">
        <v>120</v>
      </c>
    </row>
    <row r="309" spans="1:7" x14ac:dyDescent="0.2">
      <c r="A309" s="48">
        <f>100000*1.34</f>
        <v>134000</v>
      </c>
      <c r="F309" s="43" t="s">
        <v>128</v>
      </c>
    </row>
    <row r="310" spans="1:7" x14ac:dyDescent="0.2">
      <c r="B310" s="48"/>
    </row>
    <row r="311" spans="1:7" x14ac:dyDescent="0.2">
      <c r="B311" s="48"/>
      <c r="C311" s="47" t="s">
        <v>2443</v>
      </c>
    </row>
    <row r="312" spans="1:7" x14ac:dyDescent="0.2">
      <c r="B312" s="48"/>
      <c r="C312" s="47" t="s">
        <v>2444</v>
      </c>
      <c r="D312" s="43" t="s">
        <v>1505</v>
      </c>
    </row>
    <row r="313" spans="1:7" x14ac:dyDescent="0.2">
      <c r="B313" s="48"/>
    </row>
    <row r="314" spans="1:7" x14ac:dyDescent="0.2">
      <c r="B314" s="48"/>
    </row>
    <row r="315" spans="1:7" x14ac:dyDescent="0.2">
      <c r="A315" s="43" t="s">
        <v>129</v>
      </c>
      <c r="B315" s="48"/>
    </row>
    <row r="316" spans="1:7" x14ac:dyDescent="0.2">
      <c r="F316" s="43" t="s">
        <v>73</v>
      </c>
    </row>
    <row r="317" spans="1:7" x14ac:dyDescent="0.2">
      <c r="B317" s="43" t="s">
        <v>65</v>
      </c>
    </row>
    <row r="318" spans="1:7" x14ac:dyDescent="0.2">
      <c r="B318" s="43" t="s">
        <v>34</v>
      </c>
      <c r="C318" s="43" t="s">
        <v>66</v>
      </c>
    </row>
    <row r="319" spans="1:7" x14ac:dyDescent="0.2">
      <c r="B319" s="43" t="s">
        <v>74</v>
      </c>
      <c r="C319" s="43" t="s">
        <v>75</v>
      </c>
    </row>
    <row r="320" spans="1:7" x14ac:dyDescent="0.2">
      <c r="B320" s="43" t="s">
        <v>76</v>
      </c>
      <c r="C320" s="43" t="s">
        <v>77</v>
      </c>
    </row>
    <row r="321" spans="1:8" x14ac:dyDescent="0.2">
      <c r="B321" s="43" t="s">
        <v>78</v>
      </c>
      <c r="C321" s="43" t="s">
        <v>79</v>
      </c>
    </row>
    <row r="322" spans="1:8" x14ac:dyDescent="0.2">
      <c r="B322" s="43" t="s">
        <v>80</v>
      </c>
      <c r="C322" s="43" t="s">
        <v>81</v>
      </c>
    </row>
    <row r="325" spans="1:8" s="44" customFormat="1" x14ac:dyDescent="0.2">
      <c r="A325" s="158" t="s">
        <v>2445</v>
      </c>
      <c r="B325" s="158"/>
      <c r="C325" s="158"/>
      <c r="D325" s="158"/>
      <c r="E325" s="158"/>
      <c r="F325" s="158" t="s">
        <v>130</v>
      </c>
      <c r="G325" s="158"/>
      <c r="H325" s="158"/>
    </row>
    <row r="326" spans="1:8" x14ac:dyDescent="0.2">
      <c r="A326" s="43" t="s">
        <v>131</v>
      </c>
    </row>
    <row r="327" spans="1:8" x14ac:dyDescent="0.2">
      <c r="A327" s="43" t="s">
        <v>132</v>
      </c>
    </row>
    <row r="328" spans="1:8" x14ac:dyDescent="0.2">
      <c r="A328" s="219" t="s">
        <v>133</v>
      </c>
    </row>
    <row r="329" spans="1:8" x14ac:dyDescent="0.2">
      <c r="A329" s="43" t="s">
        <v>134</v>
      </c>
    </row>
    <row r="330" spans="1:8" x14ac:dyDescent="0.2">
      <c r="A330" s="43" t="s">
        <v>135</v>
      </c>
    </row>
    <row r="332" spans="1:8" x14ac:dyDescent="0.2">
      <c r="A332" s="44" t="s">
        <v>111</v>
      </c>
    </row>
    <row r="334" spans="1:8" x14ac:dyDescent="0.2">
      <c r="B334" s="47">
        <v>10</v>
      </c>
      <c r="C334" s="47">
        <v>9</v>
      </c>
      <c r="D334" s="47" t="s">
        <v>136</v>
      </c>
      <c r="E334" s="47">
        <v>2</v>
      </c>
      <c r="F334" s="47">
        <v>1</v>
      </c>
      <c r="G334" s="47">
        <v>0</v>
      </c>
    </row>
    <row r="335" spans="1:8" x14ac:dyDescent="0.2">
      <c r="A335" s="44"/>
    </row>
    <row r="336" spans="1:8" x14ac:dyDescent="0.2">
      <c r="A336" s="44"/>
      <c r="G336" s="47" t="s">
        <v>115</v>
      </c>
    </row>
    <row r="337" spans="1:7" x14ac:dyDescent="0.2">
      <c r="A337" s="44"/>
      <c r="G337" s="48">
        <v>5000</v>
      </c>
    </row>
    <row r="339" spans="1:7" x14ac:dyDescent="0.2">
      <c r="A339" s="43" t="s">
        <v>137</v>
      </c>
    </row>
    <row r="341" spans="1:7" x14ac:dyDescent="0.2">
      <c r="A341" s="44" t="s">
        <v>83</v>
      </c>
    </row>
    <row r="342" spans="1:7" x14ac:dyDescent="0.2">
      <c r="F342" s="43" t="s">
        <v>84</v>
      </c>
    </row>
    <row r="343" spans="1:7" x14ac:dyDescent="0.2">
      <c r="D343" s="150">
        <f>5000*1.04^10</f>
        <v>7401.221424591723</v>
      </c>
      <c r="F343" s="43" t="s">
        <v>138</v>
      </c>
    </row>
    <row r="345" spans="1:7" x14ac:dyDescent="0.2">
      <c r="C345" s="43" t="s">
        <v>2448</v>
      </c>
      <c r="F345" s="43" t="s">
        <v>2446</v>
      </c>
    </row>
    <row r="346" spans="1:7" x14ac:dyDescent="0.2">
      <c r="C346" s="43" t="s">
        <v>2449</v>
      </c>
      <c r="E346" s="43" t="s">
        <v>2447</v>
      </c>
    </row>
    <row r="348" spans="1:7" x14ac:dyDescent="0.2">
      <c r="A348" s="44" t="s">
        <v>139</v>
      </c>
    </row>
    <row r="349" spans="1:7" x14ac:dyDescent="0.2">
      <c r="A349" s="44" t="s">
        <v>140</v>
      </c>
    </row>
    <row r="351" spans="1:7" x14ac:dyDescent="0.2">
      <c r="A351" s="44" t="s">
        <v>85</v>
      </c>
    </row>
    <row r="352" spans="1:7" x14ac:dyDescent="0.2">
      <c r="A352" s="44"/>
    </row>
    <row r="353" spans="1:8" x14ac:dyDescent="0.2">
      <c r="C353" s="43" t="s">
        <v>2450</v>
      </c>
      <c r="F353" s="77"/>
      <c r="G353" s="77">
        <v>0.04</v>
      </c>
      <c r="H353" s="43" t="s">
        <v>87</v>
      </c>
    </row>
    <row r="354" spans="1:8" x14ac:dyDescent="0.2">
      <c r="C354" s="43" t="s">
        <v>2451</v>
      </c>
      <c r="G354" s="43">
        <v>10</v>
      </c>
      <c r="H354" s="43" t="s">
        <v>89</v>
      </c>
    </row>
    <row r="355" spans="1:8" x14ac:dyDescent="0.2">
      <c r="C355" s="43" t="s">
        <v>2452</v>
      </c>
      <c r="G355" s="43">
        <v>0</v>
      </c>
      <c r="H355" s="43" t="s">
        <v>91</v>
      </c>
    </row>
    <row r="356" spans="1:8" x14ac:dyDescent="0.2">
      <c r="C356" s="43" t="s">
        <v>2453</v>
      </c>
      <c r="G356" s="43">
        <v>-5000</v>
      </c>
      <c r="H356" s="43" t="s">
        <v>281</v>
      </c>
    </row>
    <row r="357" spans="1:8" x14ac:dyDescent="0.2">
      <c r="C357" s="43" t="s">
        <v>2455</v>
      </c>
      <c r="G357" s="150">
        <f>FV(G353,G354,G355,G356)</f>
        <v>7401.221424591723</v>
      </c>
      <c r="H357" s="43" t="s">
        <v>105</v>
      </c>
    </row>
    <row r="358" spans="1:8" x14ac:dyDescent="0.2">
      <c r="C358" s="43" t="s">
        <v>2454</v>
      </c>
      <c r="H358" s="43" t="s">
        <v>328</v>
      </c>
    </row>
    <row r="360" spans="1:8" x14ac:dyDescent="0.2">
      <c r="B360" s="43" t="s">
        <v>96</v>
      </c>
      <c r="H360" s="149" t="s">
        <v>97</v>
      </c>
    </row>
    <row r="361" spans="1:8" x14ac:dyDescent="0.2">
      <c r="F361" s="149"/>
    </row>
    <row r="362" spans="1:8" x14ac:dyDescent="0.2">
      <c r="A362" s="347" t="s">
        <v>141</v>
      </c>
      <c r="B362" s="347"/>
      <c r="C362" s="347"/>
      <c r="D362" s="347"/>
      <c r="E362" s="347"/>
      <c r="F362" s="347" t="s">
        <v>142</v>
      </c>
      <c r="G362" s="347"/>
      <c r="H362" s="347"/>
    </row>
    <row r="363" spans="1:8" x14ac:dyDescent="0.2">
      <c r="A363" s="43" t="s">
        <v>143</v>
      </c>
    </row>
    <row r="364" spans="1:8" x14ac:dyDescent="0.2">
      <c r="A364" s="43" t="s">
        <v>144</v>
      </c>
    </row>
    <row r="365" spans="1:8" x14ac:dyDescent="0.2">
      <c r="A365" s="43" t="s">
        <v>145</v>
      </c>
    </row>
    <row r="366" spans="1:8" x14ac:dyDescent="0.2">
      <c r="A366" s="43" t="s">
        <v>146</v>
      </c>
    </row>
    <row r="367" spans="1:8" x14ac:dyDescent="0.2">
      <c r="A367" s="43" t="s">
        <v>147</v>
      </c>
    </row>
    <row r="368" spans="1:8" x14ac:dyDescent="0.2">
      <c r="A368" s="43" t="s">
        <v>148</v>
      </c>
    </row>
    <row r="369" spans="1:9" x14ac:dyDescent="0.2">
      <c r="A369" s="43" t="s">
        <v>149</v>
      </c>
    </row>
    <row r="371" spans="1:9" x14ac:dyDescent="0.2">
      <c r="A371" s="43" t="s">
        <v>111</v>
      </c>
    </row>
    <row r="372" spans="1:9" x14ac:dyDescent="0.2">
      <c r="A372" s="43" t="s">
        <v>150</v>
      </c>
    </row>
    <row r="374" spans="1:9" ht="16" thickBot="1" x14ac:dyDescent="0.25"/>
    <row r="375" spans="1:9" ht="16" thickBot="1" x14ac:dyDescent="0.25">
      <c r="A375" s="89">
        <f>50000*1.08*1.09*1.12^3</f>
        <v>82694.062080000032</v>
      </c>
    </row>
    <row r="377" spans="1:9" x14ac:dyDescent="0.2">
      <c r="A377" s="43" t="s">
        <v>152</v>
      </c>
    </row>
    <row r="378" spans="1:9" x14ac:dyDescent="0.2">
      <c r="C378" s="47"/>
      <c r="D378" s="47"/>
      <c r="E378" s="47"/>
    </row>
    <row r="379" spans="1:9" x14ac:dyDescent="0.2">
      <c r="A379" s="43" t="s">
        <v>2460</v>
      </c>
      <c r="D379" s="49" t="s">
        <v>2458</v>
      </c>
      <c r="E379" s="49" t="s">
        <v>2457</v>
      </c>
      <c r="F379" s="49" t="s">
        <v>2456</v>
      </c>
      <c r="I379" s="43" t="s">
        <v>2472</v>
      </c>
    </row>
    <row r="380" spans="1:9" x14ac:dyDescent="0.2">
      <c r="A380" s="43" t="s">
        <v>2461</v>
      </c>
      <c r="D380" s="54">
        <v>0.12</v>
      </c>
      <c r="E380" s="54">
        <v>0.09</v>
      </c>
      <c r="F380" s="54">
        <v>0.08</v>
      </c>
      <c r="G380" s="43" t="s">
        <v>87</v>
      </c>
      <c r="I380" s="43" t="s">
        <v>2467</v>
      </c>
    </row>
    <row r="381" spans="1:9" x14ac:dyDescent="0.2">
      <c r="A381" s="43" t="s">
        <v>2462</v>
      </c>
      <c r="D381" s="47">
        <v>3</v>
      </c>
      <c r="E381" s="47">
        <v>1</v>
      </c>
      <c r="F381" s="47">
        <v>1</v>
      </c>
      <c r="G381" s="43" t="s">
        <v>89</v>
      </c>
      <c r="I381" s="43" t="s">
        <v>2468</v>
      </c>
    </row>
    <row r="382" spans="1:9" x14ac:dyDescent="0.2">
      <c r="D382" s="47">
        <v>0</v>
      </c>
      <c r="E382" s="47">
        <v>0</v>
      </c>
      <c r="F382" s="47">
        <v>0</v>
      </c>
      <c r="G382" s="43" t="s">
        <v>91</v>
      </c>
      <c r="I382" s="43" t="s">
        <v>2469</v>
      </c>
    </row>
    <row r="383" spans="1:9" ht="16" thickBot="1" x14ac:dyDescent="0.25">
      <c r="D383" s="328">
        <f>-E384</f>
        <v>58860.000000000007</v>
      </c>
      <c r="E383" s="350">
        <f>-F384</f>
        <v>54000</v>
      </c>
      <c r="F383" s="50">
        <v>50000</v>
      </c>
      <c r="G383" s="43" t="s">
        <v>93</v>
      </c>
      <c r="I383" s="43" t="s">
        <v>2470</v>
      </c>
    </row>
    <row r="384" spans="1:9" ht="16" thickBot="1" x14ac:dyDescent="0.25">
      <c r="A384" s="44" t="s">
        <v>2463</v>
      </c>
      <c r="C384" s="50"/>
      <c r="D384" s="570">
        <f>FV(D380,D381,D382,D383)</f>
        <v>-82694.062080000032</v>
      </c>
      <c r="E384" s="48">
        <f>FV(E380,E381,E382,E383)</f>
        <v>-58860.000000000007</v>
      </c>
      <c r="F384" s="48">
        <f>FV(F380,F381,F382,F383)</f>
        <v>-54000</v>
      </c>
      <c r="G384" s="43" t="s">
        <v>30</v>
      </c>
      <c r="I384" s="43" t="s">
        <v>2471</v>
      </c>
    </row>
    <row r="385" spans="1:8" x14ac:dyDescent="0.2">
      <c r="A385" s="44" t="s">
        <v>2464</v>
      </c>
      <c r="C385" s="47"/>
      <c r="D385" s="721" t="s">
        <v>2459</v>
      </c>
      <c r="E385" s="721"/>
      <c r="F385" s="721"/>
      <c r="G385" s="43" t="s">
        <v>95</v>
      </c>
    </row>
    <row r="386" spans="1:8" x14ac:dyDescent="0.2">
      <c r="A386" s="44" t="s">
        <v>2465</v>
      </c>
    </row>
    <row r="387" spans="1:8" x14ac:dyDescent="0.2">
      <c r="A387" s="44" t="s">
        <v>2466</v>
      </c>
      <c r="C387" s="47"/>
    </row>
    <row r="388" spans="1:8" x14ac:dyDescent="0.2">
      <c r="C388" s="47"/>
    </row>
    <row r="389" spans="1:8" x14ac:dyDescent="0.2">
      <c r="A389" s="347" t="s">
        <v>156</v>
      </c>
      <c r="B389" s="347"/>
      <c r="C389" s="347"/>
      <c r="D389" s="347"/>
      <c r="E389" s="347"/>
      <c r="F389" s="347" t="s">
        <v>142</v>
      </c>
      <c r="G389" s="347"/>
      <c r="H389" s="347"/>
    </row>
    <row r="390" spans="1:8" x14ac:dyDescent="0.2">
      <c r="A390" s="43" t="s">
        <v>157</v>
      </c>
    </row>
    <row r="391" spans="1:8" x14ac:dyDescent="0.2">
      <c r="A391" s="43" t="s">
        <v>158</v>
      </c>
    </row>
    <row r="392" spans="1:8" x14ac:dyDescent="0.2">
      <c r="A392" s="43" t="s">
        <v>159</v>
      </c>
    </row>
    <row r="393" spans="1:8" x14ac:dyDescent="0.2">
      <c r="A393" s="43" t="s">
        <v>160</v>
      </c>
    </row>
    <row r="394" spans="1:8" x14ac:dyDescent="0.2">
      <c r="A394" s="43" t="s">
        <v>161</v>
      </c>
    </row>
    <row r="395" spans="1:8" x14ac:dyDescent="0.2">
      <c r="A395" s="43" t="s">
        <v>162</v>
      </c>
    </row>
    <row r="396" spans="1:8" x14ac:dyDescent="0.2">
      <c r="A396" s="43" t="s">
        <v>163</v>
      </c>
    </row>
    <row r="397" spans="1:8" x14ac:dyDescent="0.2">
      <c r="A397" s="43" t="s">
        <v>164</v>
      </c>
    </row>
    <row r="399" spans="1:8" x14ac:dyDescent="0.2">
      <c r="A399" s="43" t="s">
        <v>111</v>
      </c>
    </row>
    <row r="400" spans="1:8" x14ac:dyDescent="0.2">
      <c r="A400" s="43" t="s">
        <v>165</v>
      </c>
    </row>
    <row r="401" spans="1:8" x14ac:dyDescent="0.2">
      <c r="H401" s="43" t="s">
        <v>151</v>
      </c>
    </row>
    <row r="402" spans="1:8" x14ac:dyDescent="0.2">
      <c r="C402" s="150">
        <f>100000*1.01^12*1.015^12*1.02^12*1.005^12</f>
        <v>181402.71996041748</v>
      </c>
      <c r="H402" s="43" t="s">
        <v>166</v>
      </c>
    </row>
    <row r="404" spans="1:8" x14ac:dyDescent="0.2">
      <c r="A404" s="43" t="s">
        <v>167</v>
      </c>
    </row>
    <row r="405" spans="1:8" x14ac:dyDescent="0.2">
      <c r="B405" s="47"/>
      <c r="C405" s="47"/>
      <c r="D405" s="47"/>
      <c r="E405" s="47"/>
    </row>
    <row r="406" spans="1:8" x14ac:dyDescent="0.2">
      <c r="D406" s="49" t="s">
        <v>451</v>
      </c>
      <c r="E406" s="49" t="s">
        <v>450</v>
      </c>
      <c r="F406" s="49" t="s">
        <v>2457</v>
      </c>
      <c r="G406" s="49" t="s">
        <v>2456</v>
      </c>
    </row>
    <row r="407" spans="1:8" x14ac:dyDescent="0.2">
      <c r="A407" s="43" t="s">
        <v>2474</v>
      </c>
      <c r="D407" s="64">
        <v>5.0000000000000001E-3</v>
      </c>
      <c r="E407" s="54">
        <v>0.02</v>
      </c>
      <c r="F407" s="64">
        <v>1.4999999999999999E-2</v>
      </c>
      <c r="G407" s="54">
        <v>0.01</v>
      </c>
      <c r="H407" s="43" t="s">
        <v>87</v>
      </c>
    </row>
    <row r="408" spans="1:8" x14ac:dyDescent="0.2">
      <c r="A408" s="43" t="s">
        <v>2475</v>
      </c>
      <c r="D408" s="47">
        <v>12</v>
      </c>
      <c r="E408" s="47">
        <v>12</v>
      </c>
      <c r="F408" s="47">
        <v>12</v>
      </c>
      <c r="G408" s="47">
        <v>12</v>
      </c>
      <c r="H408" s="43" t="s">
        <v>89</v>
      </c>
    </row>
    <row r="409" spans="1:8" x14ac:dyDescent="0.2">
      <c r="A409" s="43" t="s">
        <v>2473</v>
      </c>
      <c r="D409" s="47">
        <v>0</v>
      </c>
      <c r="E409" s="47">
        <v>0</v>
      </c>
      <c r="F409" s="47">
        <v>0</v>
      </c>
      <c r="G409" s="47">
        <v>0</v>
      </c>
      <c r="H409" s="43" t="s">
        <v>91</v>
      </c>
    </row>
    <row r="410" spans="1:8" x14ac:dyDescent="0.2">
      <c r="D410" s="328">
        <f>-E411</f>
        <v>-170864.19056063873</v>
      </c>
      <c r="E410" s="351">
        <f>-F411</f>
        <v>-134725.2482083473</v>
      </c>
      <c r="F410" s="350">
        <f>-G411</f>
        <v>-112682.50301319698</v>
      </c>
      <c r="G410" s="50">
        <v>-100000</v>
      </c>
      <c r="H410" s="43" t="s">
        <v>93</v>
      </c>
    </row>
    <row r="411" spans="1:8" x14ac:dyDescent="0.2">
      <c r="D411" s="490">
        <f>FV(D407,D408,D409,D410)</f>
        <v>181402.71996041748</v>
      </c>
      <c r="E411" s="293">
        <f>FV(E407,E408,E409,E410)</f>
        <v>170864.19056063873</v>
      </c>
      <c r="F411" s="293">
        <f>FV(F407,F408,F409,F410)</f>
        <v>134725.2482083473</v>
      </c>
      <c r="G411" s="293">
        <f>FV(G407,G408,G409,G410)</f>
        <v>112682.50301319698</v>
      </c>
      <c r="H411" s="43" t="s">
        <v>30</v>
      </c>
    </row>
    <row r="412" spans="1:8" x14ac:dyDescent="0.2">
      <c r="D412" s="721" t="s">
        <v>2476</v>
      </c>
      <c r="E412" s="721"/>
      <c r="F412" s="721"/>
      <c r="G412" s="721"/>
      <c r="H412" s="43" t="s">
        <v>95</v>
      </c>
    </row>
    <row r="414" spans="1:8" x14ac:dyDescent="0.2">
      <c r="A414" s="158" t="s">
        <v>2477</v>
      </c>
      <c r="B414" s="347"/>
      <c r="C414" s="347"/>
      <c r="D414" s="347"/>
      <c r="E414" s="347"/>
      <c r="F414" s="347"/>
      <c r="G414" s="347"/>
      <c r="H414" s="347"/>
    </row>
    <row r="415" spans="1:8" x14ac:dyDescent="0.2">
      <c r="A415" s="43" t="s">
        <v>168</v>
      </c>
    </row>
    <row r="416" spans="1:8" x14ac:dyDescent="0.2">
      <c r="A416" s="43" t="s">
        <v>169</v>
      </c>
    </row>
    <row r="418" spans="1:5" x14ac:dyDescent="0.2">
      <c r="A418" s="43" t="s">
        <v>111</v>
      </c>
    </row>
    <row r="419" spans="1:5" x14ac:dyDescent="0.2">
      <c r="A419" s="43" t="s">
        <v>2479</v>
      </c>
    </row>
    <row r="421" spans="1:5" ht="16" thickBot="1" x14ac:dyDescent="0.25">
      <c r="A421" s="43" t="s">
        <v>170</v>
      </c>
    </row>
    <row r="422" spans="1:5" ht="16" thickBot="1" x14ac:dyDescent="0.25">
      <c r="D422" s="352">
        <f>RATE(D423,D424,D425,D426,,)</f>
        <v>8.0082298255286011E-2</v>
      </c>
      <c r="E422" s="43" t="s">
        <v>87</v>
      </c>
    </row>
    <row r="423" spans="1:5" x14ac:dyDescent="0.2">
      <c r="A423" s="43" t="s">
        <v>2478</v>
      </c>
      <c r="C423" s="47"/>
      <c r="D423" s="47">
        <v>3</v>
      </c>
      <c r="E423" s="43" t="s">
        <v>89</v>
      </c>
    </row>
    <row r="424" spans="1:5" x14ac:dyDescent="0.2">
      <c r="C424" s="47"/>
      <c r="D424" s="47">
        <v>0</v>
      </c>
      <c r="E424" s="43" t="s">
        <v>91</v>
      </c>
    </row>
    <row r="425" spans="1:5" x14ac:dyDescent="0.2">
      <c r="C425" s="48"/>
      <c r="D425" s="47">
        <v>-25000</v>
      </c>
      <c r="E425" s="43" t="s">
        <v>93</v>
      </c>
    </row>
    <row r="426" spans="1:5" x14ac:dyDescent="0.2">
      <c r="C426" s="48"/>
      <c r="D426" s="47">
        <v>31500</v>
      </c>
      <c r="E426" s="43" t="s">
        <v>171</v>
      </c>
    </row>
    <row r="427" spans="1:5" x14ac:dyDescent="0.2">
      <c r="C427" s="48"/>
      <c r="D427" s="47" t="s">
        <v>2480</v>
      </c>
      <c r="E427" s="43" t="s">
        <v>95</v>
      </c>
    </row>
    <row r="429" spans="1:5" x14ac:dyDescent="0.2">
      <c r="A429" s="43" t="s">
        <v>172</v>
      </c>
      <c r="E429" s="43" t="str">
        <f ca="1">_xlfn.FORMULATEXT(D422)</f>
        <v>=RATE(D423,D424,D425,D426,,)</v>
      </c>
    </row>
    <row r="430" spans="1:5" x14ac:dyDescent="0.2">
      <c r="E430" s="149" t="s">
        <v>173</v>
      </c>
    </row>
    <row r="432" spans="1:5" x14ac:dyDescent="0.2">
      <c r="A432" s="43" t="s">
        <v>174</v>
      </c>
    </row>
    <row r="433" spans="1:8" ht="16" thickBot="1" x14ac:dyDescent="0.25"/>
    <row r="434" spans="1:8" x14ac:dyDescent="0.2">
      <c r="A434" s="236" t="s">
        <v>2484</v>
      </c>
      <c r="B434" s="237"/>
      <c r="C434" s="237"/>
      <c r="D434" s="237"/>
      <c r="E434" s="237"/>
      <c r="F434" s="237"/>
      <c r="G434" s="237"/>
      <c r="H434" s="238"/>
    </row>
    <row r="435" spans="1:8" x14ac:dyDescent="0.2">
      <c r="A435" s="239" t="s">
        <v>2481</v>
      </c>
      <c r="B435" s="79"/>
      <c r="C435" s="79"/>
      <c r="D435" s="79"/>
      <c r="E435" s="79"/>
      <c r="F435" s="79"/>
      <c r="G435" s="79"/>
      <c r="H435" s="240"/>
    </row>
    <row r="436" spans="1:8" x14ac:dyDescent="0.2">
      <c r="A436" s="239" t="s">
        <v>2482</v>
      </c>
      <c r="B436" s="79"/>
      <c r="C436" s="79"/>
      <c r="D436" s="79"/>
      <c r="E436" s="79"/>
      <c r="F436" s="79"/>
      <c r="G436" s="79"/>
      <c r="H436" s="240"/>
    </row>
    <row r="437" spans="1:8" ht="16" thickBot="1" x14ac:dyDescent="0.25">
      <c r="A437" s="241" t="s">
        <v>2483</v>
      </c>
      <c r="B437" s="242"/>
      <c r="C437" s="242"/>
      <c r="D437" s="242"/>
      <c r="E437" s="242"/>
      <c r="F437" s="242"/>
      <c r="G437" s="242"/>
      <c r="H437" s="243"/>
    </row>
    <row r="441" spans="1:8" x14ac:dyDescent="0.2">
      <c r="A441" s="347" t="s">
        <v>175</v>
      </c>
      <c r="B441" s="347"/>
      <c r="C441" s="347"/>
      <c r="D441" s="347"/>
      <c r="E441" s="347"/>
      <c r="F441" s="347"/>
      <c r="G441" s="347"/>
      <c r="H441" s="347"/>
    </row>
    <row r="442" spans="1:8" x14ac:dyDescent="0.2">
      <c r="A442" s="43" t="s">
        <v>176</v>
      </c>
    </row>
    <row r="443" spans="1:8" x14ac:dyDescent="0.2">
      <c r="A443" s="43" t="s">
        <v>177</v>
      </c>
    </row>
    <row r="444" spans="1:8" x14ac:dyDescent="0.2">
      <c r="A444" s="43" t="s">
        <v>178</v>
      </c>
    </row>
    <row r="446" spans="1:8" x14ac:dyDescent="0.2">
      <c r="A446" s="43" t="s">
        <v>111</v>
      </c>
    </row>
    <row r="447" spans="1:8" x14ac:dyDescent="0.2">
      <c r="A447" s="43" t="s">
        <v>179</v>
      </c>
    </row>
    <row r="448" spans="1:8" x14ac:dyDescent="0.2">
      <c r="A448" s="43" t="s">
        <v>180</v>
      </c>
    </row>
    <row r="449" spans="1:6" x14ac:dyDescent="0.2">
      <c r="A449" s="43" t="s">
        <v>181</v>
      </c>
    </row>
    <row r="450" spans="1:6" x14ac:dyDescent="0.2">
      <c r="A450" s="43" t="s">
        <v>182</v>
      </c>
    </row>
    <row r="452" spans="1:6" x14ac:dyDescent="0.2">
      <c r="A452" s="43" t="s">
        <v>183</v>
      </c>
    </row>
    <row r="453" spans="1:6" x14ac:dyDescent="0.2">
      <c r="B453" s="43" t="s">
        <v>184</v>
      </c>
    </row>
    <row r="454" spans="1:6" x14ac:dyDescent="0.2">
      <c r="E454" s="46"/>
      <c r="F454" s="46" t="s">
        <v>185</v>
      </c>
    </row>
    <row r="455" spans="1:6" x14ac:dyDescent="0.2">
      <c r="B455" s="43" t="s">
        <v>186</v>
      </c>
    </row>
    <row r="456" spans="1:6" x14ac:dyDescent="0.2">
      <c r="E456" s="46"/>
      <c r="F456" s="46" t="s">
        <v>187</v>
      </c>
    </row>
    <row r="458" spans="1:6" x14ac:dyDescent="0.2">
      <c r="B458" s="43" t="s">
        <v>188</v>
      </c>
    </row>
    <row r="459" spans="1:6" x14ac:dyDescent="0.2">
      <c r="D459" s="46"/>
      <c r="E459" s="46"/>
      <c r="F459" s="46" t="s">
        <v>189</v>
      </c>
    </row>
    <row r="461" spans="1:6" x14ac:dyDescent="0.2">
      <c r="D461" s="43" t="s">
        <v>2488</v>
      </c>
      <c r="F461" s="43" t="s">
        <v>2485</v>
      </c>
    </row>
    <row r="462" spans="1:6" x14ac:dyDescent="0.2">
      <c r="D462" s="43" t="s">
        <v>2489</v>
      </c>
      <c r="F462" s="43" t="s">
        <v>2486</v>
      </c>
    </row>
    <row r="463" spans="1:6" x14ac:dyDescent="0.2">
      <c r="D463" s="43" t="s">
        <v>2490</v>
      </c>
      <c r="F463" s="43" t="s">
        <v>2487</v>
      </c>
    </row>
    <row r="464" spans="1:6" x14ac:dyDescent="0.2">
      <c r="D464" s="43" t="s">
        <v>2491</v>
      </c>
    </row>
    <row r="465" spans="1:6" x14ac:dyDescent="0.2">
      <c r="D465" s="43" t="s">
        <v>2487</v>
      </c>
    </row>
    <row r="467" spans="1:6" x14ac:dyDescent="0.2">
      <c r="B467" s="43" t="s">
        <v>190</v>
      </c>
      <c r="F467" s="43" t="s">
        <v>191</v>
      </c>
    </row>
    <row r="468" spans="1:6" x14ac:dyDescent="0.2">
      <c r="B468" s="43" t="s">
        <v>192</v>
      </c>
      <c r="F468" s="43" t="s">
        <v>193</v>
      </c>
    </row>
    <row r="469" spans="1:6" ht="16" thickBot="1" x14ac:dyDescent="0.25">
      <c r="B469" s="43" t="s">
        <v>194</v>
      </c>
      <c r="E469" s="353">
        <f>3500-525.57</f>
        <v>2974.43</v>
      </c>
      <c r="F469" s="43" t="s">
        <v>195</v>
      </c>
    </row>
    <row r="470" spans="1:6" ht="16" thickBot="1" x14ac:dyDescent="0.25">
      <c r="B470" s="43" t="s">
        <v>196</v>
      </c>
      <c r="E470" s="354">
        <f>E469/1.005^4</f>
        <v>2915.6776359740088</v>
      </c>
      <c r="F470" s="47" t="s">
        <v>197</v>
      </c>
    </row>
    <row r="478" spans="1:6" x14ac:dyDescent="0.2">
      <c r="A478" s="43" t="s">
        <v>198</v>
      </c>
    </row>
    <row r="479" spans="1:6" x14ac:dyDescent="0.2">
      <c r="A479" s="43" t="s">
        <v>199</v>
      </c>
    </row>
    <row r="483" spans="1:8" x14ac:dyDescent="0.2">
      <c r="A483" s="347" t="s">
        <v>200</v>
      </c>
      <c r="B483" s="347"/>
      <c r="C483" s="347"/>
      <c r="D483" s="347"/>
      <c r="E483" s="347"/>
      <c r="F483" s="347"/>
      <c r="G483" s="347"/>
      <c r="H483" s="347"/>
    </row>
    <row r="484" spans="1:8" x14ac:dyDescent="0.2">
      <c r="A484" s="43" t="s">
        <v>201</v>
      </c>
    </row>
    <row r="485" spans="1:8" x14ac:dyDescent="0.2">
      <c r="A485" s="43" t="s">
        <v>202</v>
      </c>
    </row>
    <row r="486" spans="1:8" x14ac:dyDescent="0.2">
      <c r="A486" s="43" t="s">
        <v>203</v>
      </c>
    </row>
    <row r="488" spans="1:8" x14ac:dyDescent="0.2">
      <c r="A488" s="43" t="s">
        <v>111</v>
      </c>
      <c r="E488" s="47"/>
    </row>
    <row r="489" spans="1:8" x14ac:dyDescent="0.2">
      <c r="E489" s="47"/>
    </row>
    <row r="490" spans="1:8" x14ac:dyDescent="0.2">
      <c r="A490" s="43" t="s">
        <v>2492</v>
      </c>
      <c r="E490" s="47"/>
    </row>
    <row r="491" spans="1:8" x14ac:dyDescent="0.2">
      <c r="A491" s="43" t="s">
        <v>2493</v>
      </c>
      <c r="E491" s="47"/>
    </row>
    <row r="492" spans="1:8" x14ac:dyDescent="0.2">
      <c r="E492" s="47"/>
    </row>
    <row r="493" spans="1:8" x14ac:dyDescent="0.2">
      <c r="E493" s="49" t="s">
        <v>153</v>
      </c>
    </row>
    <row r="494" spans="1:8" s="288" customFormat="1" ht="16" thickBot="1" x14ac:dyDescent="0.25">
      <c r="A494" s="288" t="s">
        <v>431</v>
      </c>
      <c r="E494" s="439">
        <v>0.06</v>
      </c>
      <c r="G494" s="288" t="s">
        <v>87</v>
      </c>
    </row>
    <row r="495" spans="1:8" ht="16" thickBot="1" x14ac:dyDescent="0.25">
      <c r="A495" s="43" t="s">
        <v>204</v>
      </c>
      <c r="E495" s="571">
        <f>NPER(E494,E496,E497,E499)</f>
        <v>6.9999970439799384</v>
      </c>
      <c r="G495" s="43" t="s">
        <v>89</v>
      </c>
    </row>
    <row r="496" spans="1:8" s="288" customFormat="1" x14ac:dyDescent="0.2">
      <c r="A496" s="288" t="s">
        <v>2495</v>
      </c>
      <c r="E496" s="29">
        <v>0</v>
      </c>
      <c r="G496" s="288" t="s">
        <v>91</v>
      </c>
    </row>
    <row r="497" spans="1:8" s="288" customFormat="1" x14ac:dyDescent="0.2">
      <c r="A497" s="288" t="s">
        <v>2494</v>
      </c>
      <c r="E497" s="293">
        <v>-3000</v>
      </c>
      <c r="G497" s="288" t="s">
        <v>93</v>
      </c>
    </row>
    <row r="498" spans="1:8" s="288" customFormat="1" x14ac:dyDescent="0.2">
      <c r="A498" s="288" t="s">
        <v>2496</v>
      </c>
      <c r="E498" s="29">
        <v>0</v>
      </c>
      <c r="G498" s="288" t="s">
        <v>95</v>
      </c>
    </row>
    <row r="499" spans="1:8" s="288" customFormat="1" x14ac:dyDescent="0.2">
      <c r="E499" s="29">
        <f>4510.89</f>
        <v>4510.8900000000003</v>
      </c>
      <c r="G499" s="288" t="s">
        <v>205</v>
      </c>
    </row>
    <row r="501" spans="1:8" x14ac:dyDescent="0.2">
      <c r="A501" s="44" t="s">
        <v>2497</v>
      </c>
    </row>
    <row r="505" spans="1:8" x14ac:dyDescent="0.2">
      <c r="A505" s="347" t="s">
        <v>206</v>
      </c>
      <c r="B505" s="347"/>
      <c r="C505" s="347"/>
      <c r="D505" s="347"/>
      <c r="E505" s="347"/>
      <c r="F505" s="347"/>
      <c r="G505" s="347"/>
      <c r="H505" s="347"/>
    </row>
    <row r="506" spans="1:8" x14ac:dyDescent="0.2">
      <c r="A506" s="43" t="s">
        <v>207</v>
      </c>
    </row>
    <row r="507" spans="1:8" x14ac:dyDescent="0.2">
      <c r="A507" s="43" t="s">
        <v>208</v>
      </c>
    </row>
    <row r="508" spans="1:8" x14ac:dyDescent="0.2">
      <c r="A508" s="43" t="s">
        <v>209</v>
      </c>
    </row>
    <row r="509" spans="1:8" x14ac:dyDescent="0.2">
      <c r="A509" s="43" t="s">
        <v>210</v>
      </c>
    </row>
    <row r="510" spans="1:8" x14ac:dyDescent="0.2">
      <c r="A510" s="43" t="s">
        <v>211</v>
      </c>
    </row>
    <row r="511" spans="1:8" x14ac:dyDescent="0.2">
      <c r="A511" s="43" t="s">
        <v>212</v>
      </c>
    </row>
    <row r="512" spans="1:8" x14ac:dyDescent="0.2">
      <c r="A512" s="43" t="s">
        <v>213</v>
      </c>
    </row>
    <row r="514" spans="1:6" x14ac:dyDescent="0.2">
      <c r="A514" s="43" t="s">
        <v>111</v>
      </c>
    </row>
    <row r="516" spans="1:6" x14ac:dyDescent="0.2">
      <c r="A516" s="43" t="s">
        <v>214</v>
      </c>
      <c r="C516" s="48">
        <f>4000*1.008^12+3000*1.008^4</f>
        <v>7498.5129311525889</v>
      </c>
      <c r="F516" s="43" t="s">
        <v>215</v>
      </c>
    </row>
    <row r="517" spans="1:6" x14ac:dyDescent="0.2">
      <c r="A517" s="43" t="s">
        <v>216</v>
      </c>
    </row>
    <row r="518" spans="1:6" x14ac:dyDescent="0.2">
      <c r="A518" s="43" t="s">
        <v>2510</v>
      </c>
    </row>
    <row r="519" spans="1:6" x14ac:dyDescent="0.2">
      <c r="C519" s="43" t="s">
        <v>728</v>
      </c>
      <c r="D519" s="43" t="s">
        <v>2503</v>
      </c>
      <c r="F519" s="43" t="s">
        <v>2498</v>
      </c>
    </row>
    <row r="520" spans="1:6" x14ac:dyDescent="0.2">
      <c r="C520" s="43" t="s">
        <v>2507</v>
      </c>
      <c r="D520" s="43" t="s">
        <v>2504</v>
      </c>
      <c r="F520" s="43" t="s">
        <v>2499</v>
      </c>
    </row>
    <row r="521" spans="1:6" x14ac:dyDescent="0.2">
      <c r="C521" s="43" t="s">
        <v>2508</v>
      </c>
      <c r="D521" s="43" t="s">
        <v>2505</v>
      </c>
      <c r="F521" s="43" t="s">
        <v>2500</v>
      </c>
    </row>
    <row r="522" spans="1:6" x14ac:dyDescent="0.2">
      <c r="C522" s="43" t="s">
        <v>2509</v>
      </c>
      <c r="D522" s="43" t="s">
        <v>2506</v>
      </c>
      <c r="F522" s="43" t="s">
        <v>2501</v>
      </c>
    </row>
    <row r="523" spans="1:6" x14ac:dyDescent="0.2">
      <c r="F523" s="43" t="s">
        <v>2502</v>
      </c>
    </row>
    <row r="524" spans="1:6" x14ac:dyDescent="0.2">
      <c r="A524" s="43" t="s">
        <v>217</v>
      </c>
    </row>
    <row r="525" spans="1:6" x14ac:dyDescent="0.2">
      <c r="A525" s="43" t="s">
        <v>2511</v>
      </c>
    </row>
    <row r="526" spans="1:6" x14ac:dyDescent="0.2">
      <c r="A526" s="43" t="s">
        <v>2512</v>
      </c>
    </row>
    <row r="528" spans="1:6" x14ac:dyDescent="0.2">
      <c r="C528" s="47" t="s">
        <v>2514</v>
      </c>
      <c r="D528" s="47" t="s">
        <v>115</v>
      </c>
    </row>
    <row r="529" spans="1:7" x14ac:dyDescent="0.2">
      <c r="C529" s="47" t="s">
        <v>2515</v>
      </c>
      <c r="D529" s="47" t="s">
        <v>2513</v>
      </c>
    </row>
    <row r="530" spans="1:7" x14ac:dyDescent="0.2">
      <c r="C530" s="47" t="s">
        <v>2516</v>
      </c>
      <c r="D530" s="47" t="s">
        <v>218</v>
      </c>
    </row>
    <row r="531" spans="1:7" x14ac:dyDescent="0.2">
      <c r="C531" s="49" t="s">
        <v>2517</v>
      </c>
      <c r="D531" s="49">
        <v>8</v>
      </c>
    </row>
    <row r="532" spans="1:7" x14ac:dyDescent="0.2">
      <c r="A532" s="43" t="s">
        <v>2518</v>
      </c>
      <c r="C532" s="572">
        <f>D532</f>
        <v>8.0000000000000002E-3</v>
      </c>
      <c r="D532" s="572">
        <v>8.0000000000000002E-3</v>
      </c>
      <c r="G532" s="43" t="s">
        <v>87</v>
      </c>
    </row>
    <row r="533" spans="1:7" x14ac:dyDescent="0.2">
      <c r="C533" s="29">
        <v>4</v>
      </c>
      <c r="D533" s="29">
        <v>8</v>
      </c>
      <c r="G533" s="43" t="s">
        <v>89</v>
      </c>
    </row>
    <row r="534" spans="1:7" x14ac:dyDescent="0.2">
      <c r="A534" s="43" t="s">
        <v>2519</v>
      </c>
      <c r="C534" s="29">
        <v>0</v>
      </c>
      <c r="D534" s="29">
        <v>0</v>
      </c>
      <c r="G534" s="43" t="s">
        <v>91</v>
      </c>
    </row>
    <row r="535" spans="1:7" x14ac:dyDescent="0.2">
      <c r="C535" s="573">
        <f>-D538-3000</f>
        <v>-7263.2838422494606</v>
      </c>
      <c r="D535" s="293">
        <v>-4000</v>
      </c>
      <c r="G535" s="43" t="s">
        <v>93</v>
      </c>
    </row>
    <row r="536" spans="1:7" x14ac:dyDescent="0.2">
      <c r="C536" s="288"/>
      <c r="D536" s="29">
        <v>0</v>
      </c>
      <c r="G536" s="43" t="s">
        <v>95</v>
      </c>
    </row>
    <row r="537" spans="1:7" ht="16" thickBot="1" x14ac:dyDescent="0.25">
      <c r="C537" s="441"/>
      <c r="D537" s="441"/>
    </row>
    <row r="538" spans="1:7" ht="16" thickBot="1" x14ac:dyDescent="0.25">
      <c r="C538" s="574">
        <f>FV(C532,C533,C534,C535,C536)</f>
        <v>7498.512931152588</v>
      </c>
      <c r="D538" s="573">
        <f>FV(D532,D533,D534,D535,D536)</f>
        <v>4263.2838422494606</v>
      </c>
      <c r="G538" s="149" t="s">
        <v>97</v>
      </c>
    </row>
    <row r="540" spans="1:7" x14ac:dyDescent="0.2">
      <c r="A540" s="43" t="s">
        <v>219</v>
      </c>
    </row>
    <row r="541" spans="1:7" x14ac:dyDescent="0.2">
      <c r="A541" s="43" t="s">
        <v>220</v>
      </c>
    </row>
    <row r="542" spans="1:7" x14ac:dyDescent="0.2">
      <c r="A542" s="43" t="s">
        <v>221</v>
      </c>
    </row>
    <row r="543" spans="1:7" x14ac:dyDescent="0.2">
      <c r="A543" s="43" t="s">
        <v>222</v>
      </c>
    </row>
    <row r="544" spans="1:7" x14ac:dyDescent="0.2">
      <c r="A544" s="43" t="s">
        <v>223</v>
      </c>
    </row>
    <row r="553" spans="1:8" x14ac:dyDescent="0.2">
      <c r="A553" s="347" t="s">
        <v>224</v>
      </c>
      <c r="B553" s="347"/>
      <c r="C553" s="347"/>
      <c r="D553" s="158" t="s">
        <v>225</v>
      </c>
      <c r="E553" s="347"/>
      <c r="F553" s="347"/>
      <c r="G553" s="347"/>
      <c r="H553" s="347"/>
    </row>
    <row r="554" spans="1:8" x14ac:dyDescent="0.2">
      <c r="A554" s="43" t="s">
        <v>226</v>
      </c>
    </row>
    <row r="555" spans="1:8" x14ac:dyDescent="0.2">
      <c r="A555" s="43" t="s">
        <v>227</v>
      </c>
    </row>
    <row r="556" spans="1:8" x14ac:dyDescent="0.2">
      <c r="A556" s="43" t="s">
        <v>228</v>
      </c>
    </row>
    <row r="557" spans="1:8" x14ac:dyDescent="0.2">
      <c r="A557" s="43" t="s">
        <v>229</v>
      </c>
    </row>
    <row r="559" spans="1:8" x14ac:dyDescent="0.2">
      <c r="A559" s="43" t="s">
        <v>111</v>
      </c>
    </row>
    <row r="560" spans="1:8" x14ac:dyDescent="0.2">
      <c r="D560" s="47" t="s">
        <v>218</v>
      </c>
    </row>
    <row r="561" spans="1:8" x14ac:dyDescent="0.2">
      <c r="D561" s="49">
        <v>3</v>
      </c>
    </row>
    <row r="562" spans="1:8" x14ac:dyDescent="0.2">
      <c r="D562" s="64">
        <v>0.05</v>
      </c>
      <c r="G562" s="43" t="s">
        <v>87</v>
      </c>
    </row>
    <row r="563" spans="1:8" x14ac:dyDescent="0.2">
      <c r="D563" s="47">
        <v>3</v>
      </c>
      <c r="G563" s="43" t="s">
        <v>89</v>
      </c>
    </row>
    <row r="564" spans="1:8" x14ac:dyDescent="0.2">
      <c r="D564" s="47">
        <v>0</v>
      </c>
      <c r="G564" s="43" t="s">
        <v>91</v>
      </c>
    </row>
    <row r="565" spans="1:8" x14ac:dyDescent="0.2">
      <c r="D565" s="50">
        <v>-10000</v>
      </c>
      <c r="G565" s="43" t="s">
        <v>93</v>
      </c>
    </row>
    <row r="566" spans="1:8" x14ac:dyDescent="0.2">
      <c r="D566" s="47">
        <v>0</v>
      </c>
      <c r="G566" s="43" t="s">
        <v>95</v>
      </c>
    </row>
    <row r="568" spans="1:8" x14ac:dyDescent="0.2">
      <c r="A568" s="43" t="s">
        <v>230</v>
      </c>
      <c r="D568" s="355">
        <f>FV(D562,D563,D564,D565,D566)</f>
        <v>11576.250000000002</v>
      </c>
      <c r="G568" s="149" t="s">
        <v>97</v>
      </c>
    </row>
    <row r="569" spans="1:8" x14ac:dyDescent="0.2">
      <c r="G569" s="149"/>
    </row>
    <row r="570" spans="1:8" x14ac:dyDescent="0.2">
      <c r="G570" s="149"/>
    </row>
    <row r="571" spans="1:8" x14ac:dyDescent="0.2">
      <c r="G571" s="149"/>
    </row>
    <row r="572" spans="1:8" x14ac:dyDescent="0.2">
      <c r="A572" s="347" t="s">
        <v>231</v>
      </c>
      <c r="B572" s="347"/>
      <c r="C572" s="347"/>
      <c r="D572" s="158" t="s">
        <v>225</v>
      </c>
      <c r="E572" s="347"/>
      <c r="F572" s="347"/>
      <c r="G572" s="347"/>
      <c r="H572" s="347"/>
    </row>
    <row r="573" spans="1:8" x14ac:dyDescent="0.2">
      <c r="A573" s="43" t="s">
        <v>232</v>
      </c>
    </row>
    <row r="574" spans="1:8" x14ac:dyDescent="0.2">
      <c r="A574" s="43" t="s">
        <v>233</v>
      </c>
    </row>
    <row r="575" spans="1:8" x14ac:dyDescent="0.2">
      <c r="A575" s="43" t="s">
        <v>234</v>
      </c>
    </row>
    <row r="577" spans="1:7" x14ac:dyDescent="0.2">
      <c r="A577" s="43" t="s">
        <v>111</v>
      </c>
    </row>
    <row r="578" spans="1:7" x14ac:dyDescent="0.2">
      <c r="A578" s="43" t="s">
        <v>235</v>
      </c>
    </row>
    <row r="579" spans="1:7" x14ac:dyDescent="0.2">
      <c r="A579" s="43" t="s">
        <v>236</v>
      </c>
    </row>
    <row r="581" spans="1:7" x14ac:dyDescent="0.2">
      <c r="A581" s="43" t="s">
        <v>237</v>
      </c>
    </row>
    <row r="582" spans="1:7" x14ac:dyDescent="0.2">
      <c r="A582" s="43" t="s">
        <v>238</v>
      </c>
    </row>
    <row r="584" spans="1:7" x14ac:dyDescent="0.2">
      <c r="D584" s="47" t="s">
        <v>218</v>
      </c>
    </row>
    <row r="585" spans="1:7" x14ac:dyDescent="0.2">
      <c r="D585" s="49">
        <v>5</v>
      </c>
    </row>
    <row r="586" spans="1:7" x14ac:dyDescent="0.2">
      <c r="A586" s="43" t="s">
        <v>239</v>
      </c>
      <c r="D586" s="83">
        <f>RATE(D587,D588,D589,D592,D590)</f>
        <v>8.447177119769865E-2</v>
      </c>
      <c r="G586" s="43" t="s">
        <v>87</v>
      </c>
    </row>
    <row r="587" spans="1:7" x14ac:dyDescent="0.2">
      <c r="D587" s="47">
        <v>5</v>
      </c>
      <c r="G587" s="43" t="s">
        <v>89</v>
      </c>
    </row>
    <row r="588" spans="1:7" x14ac:dyDescent="0.2">
      <c r="D588" s="47">
        <v>0</v>
      </c>
      <c r="G588" s="43" t="s">
        <v>91</v>
      </c>
    </row>
    <row r="589" spans="1:7" x14ac:dyDescent="0.2">
      <c r="D589" s="50">
        <v>-1000000</v>
      </c>
      <c r="G589" s="43" t="s">
        <v>93</v>
      </c>
    </row>
    <row r="590" spans="1:7" x14ac:dyDescent="0.2">
      <c r="D590" s="47">
        <v>0</v>
      </c>
      <c r="G590" s="43" t="s">
        <v>95</v>
      </c>
    </row>
    <row r="592" spans="1:7" x14ac:dyDescent="0.2">
      <c r="D592" s="356">
        <v>1500000</v>
      </c>
      <c r="G592" s="149" t="s">
        <v>240</v>
      </c>
    </row>
    <row r="594" spans="1:8" x14ac:dyDescent="0.2">
      <c r="A594" s="347" t="s">
        <v>241</v>
      </c>
      <c r="B594" s="347"/>
      <c r="C594" s="347"/>
      <c r="D594" s="158" t="s">
        <v>225</v>
      </c>
      <c r="E594" s="347"/>
      <c r="F594" s="347"/>
      <c r="G594" s="347"/>
      <c r="H594" s="347"/>
    </row>
    <row r="595" spans="1:8" x14ac:dyDescent="0.2">
      <c r="A595" s="43" t="s">
        <v>242</v>
      </c>
    </row>
    <row r="596" spans="1:8" x14ac:dyDescent="0.2">
      <c r="A596" s="43" t="s">
        <v>243</v>
      </c>
    </row>
    <row r="597" spans="1:8" x14ac:dyDescent="0.2">
      <c r="A597" s="43" t="s">
        <v>244</v>
      </c>
    </row>
    <row r="598" spans="1:8" x14ac:dyDescent="0.2">
      <c r="A598" s="43" t="s">
        <v>245</v>
      </c>
    </row>
    <row r="599" spans="1:8" x14ac:dyDescent="0.2">
      <c r="A599" s="43" t="s">
        <v>229</v>
      </c>
    </row>
    <row r="601" spans="1:8" x14ac:dyDescent="0.2">
      <c r="A601" s="43" t="s">
        <v>111</v>
      </c>
    </row>
    <row r="603" spans="1:8" x14ac:dyDescent="0.2">
      <c r="A603" s="43" t="s">
        <v>246</v>
      </c>
    </row>
    <row r="604" spans="1:8" x14ac:dyDescent="0.2">
      <c r="A604" s="43" t="s">
        <v>247</v>
      </c>
    </row>
    <row r="605" spans="1:8" x14ac:dyDescent="0.2">
      <c r="A605" s="43" t="s">
        <v>248</v>
      </c>
    </row>
    <row r="607" spans="1:8" x14ac:dyDescent="0.2">
      <c r="A607" s="44" t="s">
        <v>249</v>
      </c>
      <c r="D607" s="47" t="s">
        <v>250</v>
      </c>
    </row>
    <row r="608" spans="1:8" x14ac:dyDescent="0.2">
      <c r="D608" s="49" t="s">
        <v>251</v>
      </c>
    </row>
    <row r="609" spans="1:7" x14ac:dyDescent="0.2">
      <c r="A609" s="43" t="s">
        <v>252</v>
      </c>
      <c r="D609" s="83">
        <f>RATE(D610,D611,D612,D615,D613)</f>
        <v>0.11199004528465796</v>
      </c>
      <c r="G609" s="43" t="s">
        <v>87</v>
      </c>
    </row>
    <row r="610" spans="1:7" x14ac:dyDescent="0.2">
      <c r="D610" s="47">
        <v>3</v>
      </c>
      <c r="G610" s="43" t="s">
        <v>89</v>
      </c>
    </row>
    <row r="611" spans="1:7" x14ac:dyDescent="0.2">
      <c r="D611" s="47">
        <v>0</v>
      </c>
      <c r="G611" s="43" t="s">
        <v>91</v>
      </c>
    </row>
    <row r="612" spans="1:7" x14ac:dyDescent="0.2">
      <c r="D612" s="50">
        <v>-40000</v>
      </c>
      <c r="G612" s="43" t="s">
        <v>93</v>
      </c>
    </row>
    <row r="613" spans="1:7" x14ac:dyDescent="0.2">
      <c r="D613" s="47">
        <v>0</v>
      </c>
      <c r="G613" s="43" t="s">
        <v>95</v>
      </c>
    </row>
    <row r="615" spans="1:7" x14ac:dyDescent="0.2">
      <c r="D615" s="356">
        <v>55000</v>
      </c>
      <c r="G615" s="149" t="s">
        <v>240</v>
      </c>
    </row>
    <row r="617" spans="1:7" x14ac:dyDescent="0.2">
      <c r="A617" s="43" t="s">
        <v>253</v>
      </c>
    </row>
    <row r="618" spans="1:7" x14ac:dyDescent="0.2">
      <c r="A618" s="43" t="s">
        <v>254</v>
      </c>
    </row>
    <row r="619" spans="1:7" x14ac:dyDescent="0.2">
      <c r="A619" s="43" t="s">
        <v>255</v>
      </c>
    </row>
    <row r="621" spans="1:7" x14ac:dyDescent="0.2">
      <c r="A621" s="43" t="s">
        <v>256</v>
      </c>
      <c r="D621" s="47" t="s">
        <v>257</v>
      </c>
    </row>
    <row r="622" spans="1:7" x14ac:dyDescent="0.2">
      <c r="D622" s="49" t="s">
        <v>251</v>
      </c>
    </row>
    <row r="623" spans="1:7" x14ac:dyDescent="0.2">
      <c r="D623" s="64">
        <f>D609</f>
        <v>0.11199004528465796</v>
      </c>
      <c r="G623" s="43" t="s">
        <v>87</v>
      </c>
    </row>
    <row r="624" spans="1:7" x14ac:dyDescent="0.2">
      <c r="D624" s="47">
        <v>7</v>
      </c>
      <c r="G624" s="43" t="s">
        <v>89</v>
      </c>
    </row>
    <row r="625" spans="1:7" ht="16" thickBot="1" x14ac:dyDescent="0.25">
      <c r="D625" s="47">
        <v>0</v>
      </c>
      <c r="G625" s="43" t="s">
        <v>91</v>
      </c>
    </row>
    <row r="626" spans="1:7" ht="16" thickBot="1" x14ac:dyDescent="0.25">
      <c r="D626" s="357">
        <f>PV(D623,D624,D625,D629,D627)</f>
        <v>-26161.123666769938</v>
      </c>
      <c r="G626" s="43" t="s">
        <v>93</v>
      </c>
    </row>
    <row r="627" spans="1:7" x14ac:dyDescent="0.2">
      <c r="D627" s="47">
        <v>0</v>
      </c>
      <c r="G627" s="43" t="s">
        <v>95</v>
      </c>
    </row>
    <row r="629" spans="1:7" x14ac:dyDescent="0.2">
      <c r="D629" s="356">
        <v>55000</v>
      </c>
      <c r="G629" s="149" t="s">
        <v>240</v>
      </c>
    </row>
    <row r="631" spans="1:7" x14ac:dyDescent="0.2">
      <c r="A631" s="43" t="s">
        <v>258</v>
      </c>
    </row>
  </sheetData>
  <mergeCells count="3">
    <mergeCell ref="D276:E276"/>
    <mergeCell ref="D385:F385"/>
    <mergeCell ref="D412:G412"/>
  </mergeCells>
  <phoneticPr fontId="4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FB46E0-04A6-AE40-BEFE-8361C26402C0}">
  <dimension ref="A1:J713"/>
  <sheetViews>
    <sheetView rightToLeft="1" topLeftCell="A719" zoomScale="114" zoomScaleNormal="120" zoomScaleSheetLayoutView="100" workbookViewId="0">
      <selection activeCell="E199" sqref="E199"/>
    </sheetView>
  </sheetViews>
  <sheetFormatPr baseColWidth="10" defaultColWidth="8.83203125" defaultRowHeight="21" x14ac:dyDescent="0.25"/>
  <cols>
    <col min="1" max="1" width="12.6640625" style="1" bestFit="1" customWidth="1"/>
    <col min="2" max="2" width="21.6640625" style="1" bestFit="1" customWidth="1"/>
    <col min="3" max="3" width="17.33203125" style="1" customWidth="1"/>
    <col min="4" max="4" width="16.5" style="1" bestFit="1" customWidth="1"/>
    <col min="5" max="5" width="16.5" style="1" customWidth="1"/>
    <col min="6" max="6" width="14.1640625" style="1" customWidth="1"/>
    <col min="7" max="7" width="8.83203125" style="1"/>
    <col min="8" max="8" width="10.83203125" style="1" customWidth="1"/>
    <col min="9" max="9" width="5.33203125" style="1" customWidth="1"/>
    <col min="10" max="16384" width="8.83203125" style="1"/>
  </cols>
  <sheetData>
    <row r="1" spans="1:8" s="43" customFormat="1" ht="15" x14ac:dyDescent="0.2">
      <c r="A1" s="45" t="s">
        <v>259</v>
      </c>
      <c r="B1" s="46"/>
      <c r="C1" s="46"/>
      <c r="D1" s="46"/>
      <c r="E1" s="46"/>
      <c r="F1" s="46"/>
      <c r="G1" s="46"/>
      <c r="H1" s="348">
        <v>45749</v>
      </c>
    </row>
    <row r="3" spans="1:8" x14ac:dyDescent="0.25">
      <c r="A3" s="1" t="s">
        <v>260</v>
      </c>
    </row>
    <row r="4" spans="1:8" x14ac:dyDescent="0.25">
      <c r="A4" s="1" t="s">
        <v>261</v>
      </c>
    </row>
    <row r="5" spans="1:8" x14ac:dyDescent="0.25">
      <c r="A5" s="1" t="s">
        <v>262</v>
      </c>
    </row>
    <row r="7" spans="1:8" x14ac:dyDescent="0.25">
      <c r="A7" s="1" t="s">
        <v>263</v>
      </c>
    </row>
    <row r="9" spans="1:8" x14ac:dyDescent="0.25">
      <c r="B9" s="4" t="s">
        <v>264</v>
      </c>
      <c r="C9" s="4"/>
      <c r="D9" s="4"/>
      <c r="E9" s="4" t="s">
        <v>30</v>
      </c>
      <c r="F9" s="7" t="s">
        <v>265</v>
      </c>
    </row>
    <row r="10" spans="1:8" x14ac:dyDescent="0.25">
      <c r="A10" s="2"/>
      <c r="B10" s="30" t="s">
        <v>266</v>
      </c>
      <c r="C10" s="31" t="s">
        <v>87</v>
      </c>
      <c r="D10" s="4"/>
      <c r="E10" s="4"/>
      <c r="F10" s="4"/>
    </row>
    <row r="11" spans="1:8" x14ac:dyDescent="0.25">
      <c r="A11" s="2"/>
      <c r="B11" s="30" t="s">
        <v>88</v>
      </c>
      <c r="C11" s="31" t="s">
        <v>89</v>
      </c>
      <c r="D11" s="4"/>
      <c r="E11" s="4"/>
      <c r="F11" s="4"/>
    </row>
    <row r="12" spans="1:8" x14ac:dyDescent="0.25">
      <c r="A12" s="1" t="s">
        <v>267</v>
      </c>
      <c r="B12" s="29" t="s">
        <v>268</v>
      </c>
      <c r="C12" s="4" t="s">
        <v>91</v>
      </c>
      <c r="D12" s="4"/>
      <c r="E12" s="4"/>
      <c r="F12" s="4"/>
    </row>
    <row r="13" spans="1:8" x14ac:dyDescent="0.25">
      <c r="A13" s="2"/>
      <c r="B13" s="30" t="s">
        <v>269</v>
      </c>
      <c r="C13" s="31" t="s">
        <v>93</v>
      </c>
      <c r="D13" s="4"/>
      <c r="E13" s="4"/>
      <c r="F13" s="4"/>
    </row>
    <row r="14" spans="1:8" x14ac:dyDescent="0.25">
      <c r="A14" s="1" t="s">
        <v>267</v>
      </c>
      <c r="B14" s="29" t="s">
        <v>270</v>
      </c>
      <c r="C14" s="4" t="s">
        <v>95</v>
      </c>
      <c r="D14" s="4"/>
      <c r="E14" s="4"/>
      <c r="F14" s="4"/>
    </row>
    <row r="15" spans="1:8" x14ac:dyDescent="0.25">
      <c r="B15" s="4"/>
      <c r="C15" s="4"/>
      <c r="D15" s="4"/>
      <c r="E15" s="4"/>
      <c r="F15" s="4"/>
    </row>
    <row r="16" spans="1:8" x14ac:dyDescent="0.25">
      <c r="A16" s="1" t="s">
        <v>271</v>
      </c>
      <c r="B16" s="4"/>
      <c r="C16" s="4"/>
      <c r="D16" s="4"/>
      <c r="E16" s="4"/>
      <c r="F16" s="4"/>
    </row>
    <row r="17" spans="1:8" x14ac:dyDescent="0.25">
      <c r="A17" s="1" t="s">
        <v>272</v>
      </c>
      <c r="B17" s="4"/>
      <c r="C17" s="4"/>
      <c r="D17" s="4"/>
      <c r="E17" s="4"/>
      <c r="F17" s="4"/>
    </row>
    <row r="18" spans="1:8" x14ac:dyDescent="0.25">
      <c r="B18" s="4"/>
      <c r="C18" s="4"/>
      <c r="D18" s="4"/>
      <c r="E18" s="4"/>
      <c r="F18" s="4"/>
    </row>
    <row r="19" spans="1:8" x14ac:dyDescent="0.25">
      <c r="A19" s="358" t="s">
        <v>273</v>
      </c>
      <c r="B19" s="359"/>
      <c r="C19" s="359"/>
      <c r="D19" s="359"/>
      <c r="E19" s="359"/>
      <c r="F19" s="359"/>
      <c r="G19" s="358"/>
      <c r="H19" s="358"/>
    </row>
    <row r="20" spans="1:8" x14ac:dyDescent="0.25">
      <c r="A20" s="1" t="s">
        <v>274</v>
      </c>
      <c r="B20" s="4"/>
      <c r="C20" s="4"/>
      <c r="D20" s="4"/>
      <c r="E20" s="4"/>
      <c r="F20" s="4"/>
    </row>
    <row r="21" spans="1:8" x14ac:dyDescent="0.25">
      <c r="A21" s="1" t="s">
        <v>275</v>
      </c>
      <c r="B21" s="4"/>
      <c r="C21" s="4"/>
      <c r="D21" s="4"/>
      <c r="E21" s="4"/>
      <c r="F21" s="4"/>
    </row>
    <row r="22" spans="1:8" x14ac:dyDescent="0.25">
      <c r="B22" s="4"/>
      <c r="C22" s="4"/>
      <c r="D22" s="4"/>
      <c r="E22" s="4"/>
      <c r="F22" s="4"/>
    </row>
    <row r="23" spans="1:8" x14ac:dyDescent="0.25">
      <c r="A23" s="360" t="s">
        <v>276</v>
      </c>
      <c r="B23" s="361"/>
      <c r="C23" s="361"/>
      <c r="D23" s="361"/>
      <c r="E23" s="361"/>
      <c r="F23" s="361"/>
      <c r="G23" s="362"/>
      <c r="H23" s="362"/>
    </row>
    <row r="24" spans="1:8" x14ac:dyDescent="0.25">
      <c r="A24" s="1" t="s">
        <v>277</v>
      </c>
      <c r="B24" s="4"/>
      <c r="C24" s="4"/>
      <c r="D24" s="4"/>
      <c r="E24" s="4"/>
      <c r="F24" s="4"/>
    </row>
    <row r="25" spans="1:8" x14ac:dyDescent="0.25">
      <c r="A25" s="1" t="s">
        <v>278</v>
      </c>
      <c r="B25" s="4"/>
      <c r="C25" s="4"/>
      <c r="D25" s="4"/>
      <c r="E25" s="4"/>
      <c r="F25" s="4"/>
    </row>
    <row r="26" spans="1:8" x14ac:dyDescent="0.25">
      <c r="B26" s="4"/>
      <c r="C26" s="4"/>
      <c r="D26" s="4"/>
      <c r="E26" s="4"/>
      <c r="F26" s="4"/>
    </row>
    <row r="27" spans="1:8" x14ac:dyDescent="0.25">
      <c r="A27" s="19" t="s">
        <v>111</v>
      </c>
      <c r="B27" s="4"/>
      <c r="C27" s="4"/>
      <c r="D27" s="4"/>
      <c r="E27" s="4"/>
      <c r="F27" s="4"/>
    </row>
    <row r="28" spans="1:8" x14ac:dyDescent="0.25">
      <c r="B28" s="4"/>
      <c r="C28" s="4"/>
      <c r="D28" s="4"/>
      <c r="E28" s="4"/>
      <c r="F28" s="4"/>
    </row>
    <row r="29" spans="1:8" x14ac:dyDescent="0.25">
      <c r="B29" s="14">
        <v>0.04</v>
      </c>
      <c r="C29" s="4" t="s">
        <v>87</v>
      </c>
      <c r="D29" s="7" t="s">
        <v>279</v>
      </c>
      <c r="E29" s="4"/>
      <c r="F29" s="4"/>
    </row>
    <row r="30" spans="1:8" x14ac:dyDescent="0.25">
      <c r="B30" s="368">
        <f>NPER(B29,B31,B32,B33)</f>
        <v>28.011022756637367</v>
      </c>
      <c r="C30" s="4" t="s">
        <v>89</v>
      </c>
      <c r="D30" s="7" t="s">
        <v>280</v>
      </c>
      <c r="E30" s="4"/>
      <c r="F30" s="4"/>
    </row>
    <row r="31" spans="1:8" x14ac:dyDescent="0.25">
      <c r="B31" s="4">
        <v>0</v>
      </c>
      <c r="C31" s="4" t="s">
        <v>91</v>
      </c>
      <c r="D31" s="7" t="s">
        <v>283</v>
      </c>
      <c r="E31" s="4"/>
      <c r="F31" s="4"/>
    </row>
    <row r="32" spans="1:8" x14ac:dyDescent="0.25">
      <c r="B32" s="4">
        <v>-80000</v>
      </c>
      <c r="C32" s="4" t="s">
        <v>281</v>
      </c>
      <c r="D32" s="7" t="s">
        <v>282</v>
      </c>
      <c r="E32" s="4"/>
      <c r="F32" s="4"/>
    </row>
    <row r="33" spans="1:8" x14ac:dyDescent="0.25">
      <c r="B33" s="4">
        <f>80000*3</f>
        <v>240000</v>
      </c>
      <c r="C33" s="4" t="s">
        <v>105</v>
      </c>
      <c r="D33" s="7" t="s">
        <v>284</v>
      </c>
      <c r="E33" s="4"/>
      <c r="F33" s="4"/>
    </row>
    <row r="34" spans="1:8" x14ac:dyDescent="0.25">
      <c r="B34" s="4"/>
      <c r="C34" s="4"/>
      <c r="D34" s="4"/>
      <c r="E34" s="4"/>
      <c r="F34" s="4"/>
    </row>
    <row r="35" spans="1:8" x14ac:dyDescent="0.25">
      <c r="A35" s="369" t="s">
        <v>2992</v>
      </c>
      <c r="B35" s="4"/>
      <c r="C35" s="4"/>
      <c r="D35" s="4"/>
      <c r="E35" s="4"/>
      <c r="F35" s="4"/>
    </row>
    <row r="36" spans="1:8" x14ac:dyDescent="0.25">
      <c r="B36" s="4"/>
      <c r="C36" s="4"/>
      <c r="D36" s="4"/>
      <c r="E36" s="4"/>
      <c r="F36" s="4"/>
    </row>
    <row r="37" spans="1:8" x14ac:dyDescent="0.25">
      <c r="A37" s="360" t="s">
        <v>285</v>
      </c>
      <c r="B37" s="363"/>
      <c r="C37" s="363"/>
      <c r="D37" s="363"/>
      <c r="E37" s="363"/>
      <c r="F37" s="363"/>
      <c r="G37" s="360"/>
      <c r="H37" s="360"/>
    </row>
    <row r="38" spans="1:8" x14ac:dyDescent="0.25">
      <c r="A38" s="1" t="s">
        <v>286</v>
      </c>
      <c r="B38" s="4"/>
      <c r="C38" s="4"/>
      <c r="D38" s="4"/>
      <c r="E38" s="4"/>
      <c r="F38" s="4"/>
    </row>
    <row r="39" spans="1:8" x14ac:dyDescent="0.25">
      <c r="A39" s="1" t="s">
        <v>287</v>
      </c>
      <c r="B39" s="4"/>
      <c r="C39" s="4"/>
      <c r="D39" s="4"/>
      <c r="E39" s="4"/>
      <c r="F39" s="4"/>
    </row>
    <row r="40" spans="1:8" x14ac:dyDescent="0.25">
      <c r="A40" s="1" t="s">
        <v>288</v>
      </c>
      <c r="B40" s="4"/>
      <c r="C40" s="4"/>
      <c r="D40" s="4"/>
      <c r="E40" s="4"/>
      <c r="F40" s="4"/>
    </row>
    <row r="41" spans="1:8" x14ac:dyDescent="0.25">
      <c r="A41" s="1" t="s">
        <v>289</v>
      </c>
      <c r="B41" s="4"/>
      <c r="C41" s="4"/>
      <c r="D41" s="4"/>
      <c r="E41" s="4"/>
      <c r="F41" s="4"/>
    </row>
    <row r="42" spans="1:8" x14ac:dyDescent="0.25">
      <c r="B42" s="4"/>
      <c r="C42" s="4"/>
      <c r="D42" s="657"/>
      <c r="E42" s="4"/>
      <c r="F42" s="4"/>
    </row>
    <row r="43" spans="1:8" x14ac:dyDescent="0.25">
      <c r="B43" s="4"/>
      <c r="C43" s="4"/>
      <c r="D43" s="4"/>
      <c r="E43" s="4"/>
      <c r="F43" s="4"/>
    </row>
    <row r="44" spans="1:8" ht="22" thickBot="1" x14ac:dyDescent="0.3">
      <c r="A44" s="1" t="s">
        <v>290</v>
      </c>
      <c r="B44" s="4"/>
      <c r="C44" s="4"/>
      <c r="D44" s="4"/>
      <c r="E44" s="1" t="s">
        <v>291</v>
      </c>
      <c r="F44" s="4"/>
      <c r="G44" s="4"/>
    </row>
    <row r="45" spans="1:8" x14ac:dyDescent="0.25">
      <c r="B45" s="375">
        <f>RATE(B46,B47,B48,B49)</f>
        <v>5.9223841048813515E-2</v>
      </c>
      <c r="C45" s="371" t="s">
        <v>87</v>
      </c>
      <c r="D45" s="4"/>
      <c r="E45" s="375">
        <f>RATE(E46,E47,E48,E49)</f>
        <v>4.8062141804318132E-3</v>
      </c>
      <c r="F45" s="370"/>
      <c r="G45" s="371" t="s">
        <v>87</v>
      </c>
    </row>
    <row r="46" spans="1:8" ht="22" thickBot="1" x14ac:dyDescent="0.3">
      <c r="B46" s="372">
        <v>5</v>
      </c>
      <c r="C46" s="374" t="s">
        <v>89</v>
      </c>
      <c r="D46" s="4"/>
      <c r="E46" s="372">
        <f>5*12</f>
        <v>60</v>
      </c>
      <c r="F46" s="373"/>
      <c r="G46" s="374" t="s">
        <v>89</v>
      </c>
    </row>
    <row r="47" spans="1:8" x14ac:dyDescent="0.25">
      <c r="B47" s="4">
        <v>0</v>
      </c>
      <c r="C47" s="4" t="s">
        <v>91</v>
      </c>
      <c r="E47" s="4">
        <f>B47</f>
        <v>0</v>
      </c>
      <c r="F47" s="4"/>
      <c r="G47" s="4" t="s">
        <v>91</v>
      </c>
    </row>
    <row r="48" spans="1:8" x14ac:dyDescent="0.25">
      <c r="B48" s="4">
        <v>-6000</v>
      </c>
      <c r="C48" s="4" t="s">
        <v>281</v>
      </c>
      <c r="D48" s="4"/>
      <c r="E48" s="4">
        <f>B48</f>
        <v>-6000</v>
      </c>
      <c r="F48" s="4"/>
      <c r="G48" s="4" t="s">
        <v>281</v>
      </c>
    </row>
    <row r="49" spans="1:8" x14ac:dyDescent="0.25">
      <c r="B49" s="4">
        <v>8000</v>
      </c>
      <c r="C49" s="4" t="s">
        <v>105</v>
      </c>
      <c r="E49" s="4">
        <f>B49</f>
        <v>8000</v>
      </c>
      <c r="F49" s="4"/>
      <c r="G49" s="4" t="s">
        <v>105</v>
      </c>
    </row>
    <row r="50" spans="1:8" x14ac:dyDescent="0.25">
      <c r="B50" s="4"/>
      <c r="C50" s="4"/>
    </row>
    <row r="51" spans="1:8" x14ac:dyDescent="0.25">
      <c r="A51" s="1" t="s">
        <v>292</v>
      </c>
      <c r="B51" s="4"/>
      <c r="C51" s="4"/>
    </row>
    <row r="52" spans="1:8" x14ac:dyDescent="0.25">
      <c r="A52" s="1" t="s">
        <v>293</v>
      </c>
      <c r="B52" s="4"/>
      <c r="C52" s="4"/>
    </row>
    <row r="53" spans="1:8" x14ac:dyDescent="0.25">
      <c r="B53" s="4"/>
      <c r="C53" s="4"/>
      <c r="D53" s="376">
        <f>B45/12</f>
        <v>4.9353200874011263E-3</v>
      </c>
      <c r="E53" s="1" t="s">
        <v>294</v>
      </c>
    </row>
    <row r="54" spans="1:8" x14ac:dyDescent="0.25">
      <c r="A54" s="1" t="s">
        <v>295</v>
      </c>
      <c r="B54" s="4"/>
      <c r="C54" s="4"/>
      <c r="D54" s="4"/>
      <c r="E54" s="4"/>
      <c r="F54" s="4"/>
    </row>
    <row r="55" spans="1:8" x14ac:dyDescent="0.25">
      <c r="A55" s="1" t="s">
        <v>296</v>
      </c>
      <c r="B55" s="4"/>
      <c r="C55" s="4"/>
      <c r="D55" s="4"/>
      <c r="E55" s="4"/>
      <c r="F55" s="4"/>
    </row>
    <row r="56" spans="1:8" x14ac:dyDescent="0.25">
      <c r="B56" s="4"/>
      <c r="C56" s="4"/>
      <c r="D56" s="4"/>
      <c r="E56" s="4"/>
      <c r="F56" s="4"/>
    </row>
    <row r="57" spans="1:8" x14ac:dyDescent="0.25">
      <c r="A57" s="360" t="s">
        <v>297</v>
      </c>
      <c r="B57" s="363"/>
      <c r="C57" s="363"/>
      <c r="D57" s="363"/>
      <c r="E57" s="363"/>
      <c r="F57" s="363"/>
      <c r="G57" s="360"/>
      <c r="H57" s="360"/>
    </row>
    <row r="58" spans="1:8" x14ac:dyDescent="0.25">
      <c r="A58" s="1" t="s">
        <v>298</v>
      </c>
      <c r="B58" s="4"/>
      <c r="C58" s="4"/>
      <c r="D58" s="4"/>
      <c r="E58" s="4"/>
      <c r="F58" s="4"/>
    </row>
    <row r="59" spans="1:8" x14ac:dyDescent="0.25">
      <c r="A59" s="1" t="s">
        <v>299</v>
      </c>
      <c r="B59" s="4"/>
      <c r="C59" s="4"/>
      <c r="D59" s="4"/>
      <c r="E59" s="4"/>
      <c r="F59" s="4"/>
    </row>
    <row r="60" spans="1:8" x14ac:dyDescent="0.25">
      <c r="A60" s="1" t="s">
        <v>300</v>
      </c>
      <c r="B60" s="4"/>
      <c r="C60" s="4"/>
      <c r="D60" s="4"/>
      <c r="E60" s="4"/>
      <c r="F60" s="4"/>
    </row>
    <row r="61" spans="1:8" x14ac:dyDescent="0.25">
      <c r="A61" s="1" t="s">
        <v>301</v>
      </c>
      <c r="B61" s="4"/>
      <c r="C61" s="4"/>
      <c r="D61" s="4"/>
      <c r="E61" s="4"/>
      <c r="F61" s="4"/>
    </row>
    <row r="62" spans="1:8" x14ac:dyDescent="0.25">
      <c r="A62" s="1" t="s">
        <v>302</v>
      </c>
      <c r="B62" s="4"/>
      <c r="C62" s="4"/>
      <c r="D62" s="4"/>
      <c r="E62" s="4"/>
      <c r="F62" s="4"/>
    </row>
    <row r="63" spans="1:8" x14ac:dyDescent="0.25">
      <c r="A63" s="1" t="s">
        <v>303</v>
      </c>
      <c r="B63" s="4"/>
      <c r="C63" s="4"/>
      <c r="D63" s="4"/>
      <c r="E63" s="4"/>
      <c r="F63" s="4"/>
    </row>
    <row r="64" spans="1:8" x14ac:dyDescent="0.25">
      <c r="A64" s="1" t="s">
        <v>304</v>
      </c>
      <c r="B64" s="4"/>
      <c r="C64" s="4"/>
      <c r="D64" s="4"/>
      <c r="E64" s="4"/>
      <c r="F64" s="4"/>
    </row>
    <row r="65" spans="1:8" x14ac:dyDescent="0.25">
      <c r="B65" s="4"/>
      <c r="C65" s="4"/>
      <c r="D65" s="4"/>
      <c r="E65" s="4"/>
      <c r="F65" s="4"/>
    </row>
    <row r="66" spans="1:8" x14ac:dyDescent="0.25">
      <c r="A66" s="19" t="s">
        <v>111</v>
      </c>
      <c r="B66" s="4"/>
      <c r="C66" s="4"/>
      <c r="D66" s="4"/>
      <c r="E66" s="4"/>
      <c r="F66" s="4"/>
    </row>
    <row r="67" spans="1:8" x14ac:dyDescent="0.25">
      <c r="A67" s="1" t="s">
        <v>305</v>
      </c>
      <c r="B67" s="4"/>
      <c r="C67" s="4"/>
      <c r="D67" s="4"/>
      <c r="E67" s="4"/>
      <c r="F67" s="4"/>
    </row>
    <row r="68" spans="1:8" x14ac:dyDescent="0.25">
      <c r="A68" s="1" t="s">
        <v>306</v>
      </c>
      <c r="B68" s="4"/>
      <c r="C68" s="4"/>
      <c r="D68" s="4"/>
      <c r="E68" s="4"/>
      <c r="F68" s="4"/>
    </row>
    <row r="69" spans="1:8" x14ac:dyDescent="0.25">
      <c r="B69" s="4"/>
      <c r="C69" s="4"/>
      <c r="D69" s="4"/>
      <c r="E69" s="4"/>
      <c r="F69" s="4"/>
    </row>
    <row r="70" spans="1:8" x14ac:dyDescent="0.25">
      <c r="B70" s="4"/>
      <c r="C70" s="4"/>
      <c r="D70" s="4"/>
      <c r="E70" s="4"/>
      <c r="F70" s="4"/>
    </row>
    <row r="71" spans="1:8" x14ac:dyDescent="0.25">
      <c r="A71" s="19" t="s">
        <v>307</v>
      </c>
      <c r="B71" s="25"/>
      <c r="C71" s="25"/>
      <c r="D71" s="25"/>
      <c r="E71" s="4"/>
      <c r="F71" s="4"/>
    </row>
    <row r="72" spans="1:8" x14ac:dyDescent="0.25">
      <c r="A72" s="1" t="s">
        <v>2520</v>
      </c>
      <c r="B72" s="25"/>
      <c r="C72" s="25"/>
      <c r="D72" s="25"/>
      <c r="E72" s="4"/>
      <c r="F72" s="4"/>
    </row>
    <row r="73" spans="1:8" x14ac:dyDescent="0.25">
      <c r="A73" s="1" t="s">
        <v>2521</v>
      </c>
      <c r="B73" s="4"/>
      <c r="C73" s="4"/>
      <c r="D73" s="4"/>
      <c r="E73" s="4"/>
      <c r="F73" s="4"/>
    </row>
    <row r="74" spans="1:8" x14ac:dyDescent="0.25">
      <c r="B74" s="4"/>
      <c r="C74" s="4"/>
      <c r="D74" s="4"/>
      <c r="E74" s="4"/>
      <c r="F74" s="4"/>
    </row>
    <row r="75" spans="1:8" x14ac:dyDescent="0.25">
      <c r="B75" s="4" t="s">
        <v>2524</v>
      </c>
      <c r="C75" s="4" t="s">
        <v>2522</v>
      </c>
      <c r="D75" s="4"/>
      <c r="E75" s="4"/>
      <c r="F75" s="4"/>
    </row>
    <row r="76" spans="1:8" ht="22" thickBot="1" x14ac:dyDescent="0.3">
      <c r="B76" s="4" t="s">
        <v>2525</v>
      </c>
      <c r="C76" s="4" t="s">
        <v>2523</v>
      </c>
      <c r="D76" s="4"/>
      <c r="E76" s="4"/>
      <c r="F76" s="4"/>
    </row>
    <row r="77" spans="1:8" x14ac:dyDescent="0.25">
      <c r="B77" s="377" t="s">
        <v>308</v>
      </c>
      <c r="C77" s="377" t="s">
        <v>309</v>
      </c>
      <c r="E77" s="380"/>
      <c r="F77" s="370" t="s">
        <v>310</v>
      </c>
      <c r="G77" s="381"/>
      <c r="H77" s="382"/>
    </row>
    <row r="78" spans="1:8" x14ac:dyDescent="0.25">
      <c r="B78" s="14">
        <v>0.01</v>
      </c>
      <c r="C78" s="14">
        <v>0.01</v>
      </c>
      <c r="D78" s="4" t="s">
        <v>87</v>
      </c>
      <c r="E78" s="27"/>
      <c r="F78" s="4" t="s">
        <v>311</v>
      </c>
      <c r="H78" s="383"/>
    </row>
    <row r="79" spans="1:8" x14ac:dyDescent="0.25">
      <c r="B79" s="4">
        <v>9</v>
      </c>
      <c r="C79" s="4">
        <v>15</v>
      </c>
      <c r="D79" s="4" t="s">
        <v>89</v>
      </c>
      <c r="E79" s="27"/>
      <c r="F79" s="4" t="s">
        <v>312</v>
      </c>
      <c r="H79" s="383"/>
    </row>
    <row r="80" spans="1:8" x14ac:dyDescent="0.25">
      <c r="B80" s="4">
        <v>0</v>
      </c>
      <c r="C80" s="4">
        <v>0</v>
      </c>
      <c r="D80" s="4" t="s">
        <v>91</v>
      </c>
      <c r="E80" s="27"/>
      <c r="F80" s="4" t="s">
        <v>313</v>
      </c>
      <c r="H80" s="383"/>
    </row>
    <row r="81" spans="2:8" x14ac:dyDescent="0.25">
      <c r="B81" s="421">
        <f>-C82-3000</f>
        <v>-5321.9379107399964</v>
      </c>
      <c r="C81" s="4">
        <v>-2000</v>
      </c>
      <c r="D81" s="4" t="s">
        <v>281</v>
      </c>
      <c r="E81" s="27"/>
      <c r="F81" s="4" t="s">
        <v>314</v>
      </c>
      <c r="H81" s="383"/>
    </row>
    <row r="82" spans="2:8" ht="22" thickBot="1" x14ac:dyDescent="0.3">
      <c r="B82" s="388">
        <f>FV(B78,B79,B80,B81)</f>
        <v>5820.5251151169123</v>
      </c>
      <c r="C82" s="388">
        <f>FV(C78,C79,C80,C81)</f>
        <v>2321.9379107399968</v>
      </c>
      <c r="D82" s="4" t="s">
        <v>105</v>
      </c>
      <c r="E82" s="372"/>
      <c r="F82" s="373" t="s">
        <v>315</v>
      </c>
      <c r="G82" s="384"/>
      <c r="H82" s="385"/>
    </row>
    <row r="83" spans="2:8" ht="22" thickBot="1" x14ac:dyDescent="0.3">
      <c r="B83" s="386" t="s">
        <v>316</v>
      </c>
      <c r="C83" s="4"/>
      <c r="D83" s="4"/>
      <c r="E83" s="4"/>
      <c r="F83" s="4"/>
    </row>
    <row r="84" spans="2:8" x14ac:dyDescent="0.25">
      <c r="B84" s="4" t="s">
        <v>317</v>
      </c>
      <c r="C84" s="4"/>
    </row>
    <row r="85" spans="2:8" x14ac:dyDescent="0.25">
      <c r="B85" s="4"/>
      <c r="C85" s="4"/>
      <c r="D85" s="4"/>
      <c r="E85" s="4"/>
      <c r="F85" s="4"/>
    </row>
    <row r="86" spans="2:8" x14ac:dyDescent="0.25">
      <c r="B86" s="4"/>
      <c r="C86" s="4"/>
      <c r="D86" s="4"/>
      <c r="E86" s="4"/>
      <c r="F86" s="4"/>
    </row>
    <row r="87" spans="2:8" x14ac:dyDescent="0.25">
      <c r="B87" s="4"/>
      <c r="C87" s="4"/>
      <c r="D87" s="4"/>
      <c r="E87" s="4"/>
      <c r="F87" s="4"/>
    </row>
    <row r="88" spans="2:8" x14ac:dyDescent="0.25">
      <c r="B88" s="4"/>
      <c r="C88" s="4"/>
      <c r="D88" s="4"/>
      <c r="E88" s="4"/>
      <c r="F88" s="4"/>
    </row>
    <row r="89" spans="2:8" x14ac:dyDescent="0.25">
      <c r="B89" s="377"/>
      <c r="F89" s="377"/>
    </row>
    <row r="90" spans="2:8" x14ac:dyDescent="0.25">
      <c r="B90" s="14"/>
      <c r="F90" s="14"/>
      <c r="G90" s="4"/>
    </row>
    <row r="91" spans="2:8" x14ac:dyDescent="0.25">
      <c r="B91" s="4"/>
      <c r="F91" s="4"/>
      <c r="G91" s="4"/>
    </row>
    <row r="92" spans="2:8" x14ac:dyDescent="0.25">
      <c r="B92" s="4"/>
      <c r="F92" s="4"/>
      <c r="G92" s="4"/>
    </row>
    <row r="93" spans="2:8" ht="22" thickBot="1" x14ac:dyDescent="0.3">
      <c r="B93" s="4"/>
      <c r="F93" s="4"/>
      <c r="G93" s="4"/>
    </row>
    <row r="94" spans="2:8" ht="22" thickBot="1" x14ac:dyDescent="0.3">
      <c r="B94" s="658"/>
      <c r="F94" s="659"/>
      <c r="G94" s="4"/>
    </row>
    <row r="95" spans="2:8" ht="22" thickBot="1" x14ac:dyDescent="0.3">
      <c r="D95" s="4"/>
      <c r="E95" s="4"/>
      <c r="F95" s="4"/>
    </row>
    <row r="96" spans="2:8" ht="22" thickBot="1" x14ac:dyDescent="0.3">
      <c r="B96" s="4"/>
      <c r="C96" s="4"/>
      <c r="D96" s="658"/>
      <c r="E96" s="4"/>
      <c r="F96" s="4"/>
    </row>
    <row r="97" spans="1:8" x14ac:dyDescent="0.25">
      <c r="B97" s="4"/>
      <c r="C97" s="4"/>
      <c r="D97" s="4"/>
      <c r="E97" s="4"/>
      <c r="F97" s="4"/>
    </row>
    <row r="98" spans="1:8" x14ac:dyDescent="0.25">
      <c r="B98" s="4"/>
      <c r="C98" s="4"/>
      <c r="D98" s="4"/>
      <c r="E98" s="4"/>
      <c r="F98" s="4"/>
    </row>
    <row r="99" spans="1:8" x14ac:dyDescent="0.25">
      <c r="B99" s="4"/>
      <c r="C99" s="4"/>
      <c r="D99" s="4"/>
      <c r="E99" s="4"/>
      <c r="F99" s="4"/>
    </row>
    <row r="100" spans="1:8" x14ac:dyDescent="0.25">
      <c r="B100" s="4"/>
      <c r="C100" s="4"/>
      <c r="D100" s="4"/>
      <c r="E100" s="4"/>
      <c r="F100" s="4"/>
    </row>
    <row r="101" spans="1:8" x14ac:dyDescent="0.25">
      <c r="B101" s="4"/>
      <c r="C101" s="4"/>
      <c r="D101" s="4"/>
      <c r="E101" s="4"/>
      <c r="F101" s="4"/>
    </row>
    <row r="102" spans="1:8" x14ac:dyDescent="0.25">
      <c r="B102" s="4"/>
      <c r="C102" s="4"/>
      <c r="D102" s="4"/>
      <c r="E102" s="4"/>
      <c r="F102" s="4"/>
    </row>
    <row r="103" spans="1:8" x14ac:dyDescent="0.25">
      <c r="B103" s="4"/>
      <c r="C103" s="4"/>
      <c r="D103" s="4"/>
      <c r="E103" s="4"/>
      <c r="F103" s="4"/>
    </row>
    <row r="104" spans="1:8" x14ac:dyDescent="0.25">
      <c r="B104" s="4"/>
      <c r="C104" s="4"/>
      <c r="D104" s="4"/>
      <c r="E104" s="4"/>
      <c r="F104" s="4"/>
    </row>
    <row r="105" spans="1:8" x14ac:dyDescent="0.25">
      <c r="A105" s="360" t="s">
        <v>318</v>
      </c>
      <c r="B105" s="361"/>
      <c r="C105" s="361"/>
      <c r="D105" s="361"/>
      <c r="E105" s="361"/>
      <c r="F105" s="361"/>
      <c r="G105" s="362"/>
      <c r="H105" s="362"/>
    </row>
    <row r="106" spans="1:8" x14ac:dyDescent="0.25">
      <c r="A106" s="1" t="s">
        <v>319</v>
      </c>
      <c r="B106" s="4"/>
      <c r="C106" s="4"/>
      <c r="D106" s="4"/>
      <c r="E106" s="4"/>
      <c r="F106" s="4"/>
    </row>
    <row r="107" spans="1:8" x14ac:dyDescent="0.25">
      <c r="A107" s="1" t="s">
        <v>320</v>
      </c>
      <c r="B107" s="4"/>
      <c r="C107" s="4"/>
      <c r="D107" s="4"/>
      <c r="E107" s="4"/>
      <c r="F107" s="4"/>
    </row>
    <row r="108" spans="1:8" x14ac:dyDescent="0.25">
      <c r="A108" s="1" t="s">
        <v>2526</v>
      </c>
      <c r="B108" s="4"/>
      <c r="C108" s="4"/>
      <c r="D108" s="4"/>
      <c r="E108" s="4"/>
      <c r="F108" s="4"/>
    </row>
    <row r="109" spans="1:8" x14ac:dyDescent="0.25">
      <c r="A109" s="1" t="s">
        <v>321</v>
      </c>
      <c r="B109" s="4"/>
      <c r="C109" s="4"/>
      <c r="D109" s="4"/>
      <c r="E109" s="4"/>
      <c r="F109" s="4"/>
    </row>
    <row r="110" spans="1:8" x14ac:dyDescent="0.25">
      <c r="A110" s="1" t="s">
        <v>322</v>
      </c>
      <c r="B110" s="4"/>
      <c r="C110" s="4"/>
      <c r="D110" s="4"/>
      <c r="E110" s="4"/>
      <c r="F110" s="4"/>
    </row>
    <row r="111" spans="1:8" x14ac:dyDescent="0.25">
      <c r="A111" s="1" t="s">
        <v>323</v>
      </c>
      <c r="B111" s="4"/>
      <c r="C111" s="4"/>
      <c r="D111" s="4"/>
      <c r="E111" s="4"/>
      <c r="F111" s="4"/>
    </row>
    <row r="112" spans="1:8" x14ac:dyDescent="0.25">
      <c r="B112" s="4"/>
      <c r="C112" s="4"/>
      <c r="D112" s="4"/>
      <c r="E112" s="4"/>
      <c r="F112" s="4"/>
    </row>
    <row r="113" spans="1:6" x14ac:dyDescent="0.25">
      <c r="A113" s="19" t="s">
        <v>111</v>
      </c>
      <c r="B113" s="4"/>
      <c r="C113" s="4"/>
      <c r="D113" s="4"/>
      <c r="E113" s="4"/>
      <c r="F113" s="4"/>
    </row>
    <row r="114" spans="1:6" x14ac:dyDescent="0.25">
      <c r="A114" s="19" t="s">
        <v>2527</v>
      </c>
      <c r="B114" s="4"/>
      <c r="C114" s="4"/>
      <c r="D114" s="4"/>
      <c r="E114" s="4"/>
      <c r="F114" s="4"/>
    </row>
    <row r="115" spans="1:6" x14ac:dyDescent="0.25">
      <c r="B115" s="4"/>
      <c r="C115" s="4"/>
      <c r="D115" s="4"/>
      <c r="E115" s="4"/>
      <c r="F115" s="4"/>
    </row>
    <row r="116" spans="1:6" x14ac:dyDescent="0.25">
      <c r="A116" s="1" t="s">
        <v>2529</v>
      </c>
      <c r="B116" s="4"/>
      <c r="C116" s="387">
        <v>8.0000000000000002E-3</v>
      </c>
      <c r="D116" s="4" t="s">
        <v>87</v>
      </c>
      <c r="E116" s="7" t="s">
        <v>2528</v>
      </c>
      <c r="F116" s="4"/>
    </row>
    <row r="117" spans="1:6" x14ac:dyDescent="0.25">
      <c r="B117" s="4"/>
      <c r="C117" s="4">
        <f>12*10</f>
        <v>120</v>
      </c>
      <c r="D117" s="4" t="s">
        <v>89</v>
      </c>
      <c r="E117" s="7" t="s">
        <v>324</v>
      </c>
      <c r="F117" s="4"/>
    </row>
    <row r="118" spans="1:6" x14ac:dyDescent="0.25">
      <c r="B118" s="4"/>
      <c r="C118" s="389">
        <f>PMT(C116,C117,C119,C120,C121)</f>
        <v>-12486.422924872808</v>
      </c>
      <c r="D118" s="4" t="s">
        <v>91</v>
      </c>
      <c r="E118" s="7" t="s">
        <v>326</v>
      </c>
      <c r="F118" s="4"/>
    </row>
    <row r="119" spans="1:6" x14ac:dyDescent="0.25">
      <c r="B119" s="4"/>
      <c r="C119" s="4">
        <v>0</v>
      </c>
      <c r="D119" s="4" t="s">
        <v>281</v>
      </c>
      <c r="E119" s="7" t="s">
        <v>325</v>
      </c>
      <c r="F119" s="4"/>
    </row>
    <row r="120" spans="1:6" x14ac:dyDescent="0.25">
      <c r="B120" s="4"/>
      <c r="C120" s="4">
        <v>2500000</v>
      </c>
      <c r="D120" s="4" t="s">
        <v>105</v>
      </c>
      <c r="E120" s="7" t="s">
        <v>327</v>
      </c>
      <c r="F120" s="4"/>
    </row>
    <row r="121" spans="1:6" x14ac:dyDescent="0.25">
      <c r="B121" s="4"/>
      <c r="C121" s="4">
        <v>0</v>
      </c>
      <c r="D121" s="4" t="s">
        <v>328</v>
      </c>
      <c r="E121" s="7" t="s">
        <v>329</v>
      </c>
      <c r="F121" s="4"/>
    </row>
    <row r="122" spans="1:6" x14ac:dyDescent="0.25">
      <c r="B122" s="4"/>
      <c r="C122" s="4"/>
      <c r="D122" s="4"/>
      <c r="E122" s="7" t="s">
        <v>330</v>
      </c>
      <c r="F122" s="4"/>
    </row>
    <row r="123" spans="1:6" x14ac:dyDescent="0.25">
      <c r="B123" s="4"/>
      <c r="C123" s="4"/>
      <c r="D123" s="4"/>
      <c r="E123" s="7"/>
      <c r="F123" s="4"/>
    </row>
    <row r="124" spans="1:6" x14ac:dyDescent="0.25">
      <c r="A124" s="1" t="s">
        <v>2530</v>
      </c>
      <c r="B124" s="4"/>
      <c r="C124" s="387">
        <f>C116</f>
        <v>8.0000000000000002E-3</v>
      </c>
      <c r="D124" s="4" t="s">
        <v>87</v>
      </c>
      <c r="E124" s="7" t="s">
        <v>2533</v>
      </c>
      <c r="F124" s="4"/>
    </row>
    <row r="125" spans="1:6" x14ac:dyDescent="0.25">
      <c r="B125" s="4"/>
      <c r="C125" s="4">
        <f>C117</f>
        <v>120</v>
      </c>
      <c r="D125" s="4" t="s">
        <v>89</v>
      </c>
      <c r="E125" s="7" t="s">
        <v>2532</v>
      </c>
      <c r="F125" s="4"/>
    </row>
    <row r="126" spans="1:6" x14ac:dyDescent="0.25">
      <c r="B126" s="4"/>
      <c r="C126" s="389">
        <f>PMT(C124,C125,C127,C128,C129)</f>
        <v>-12387.32433023096</v>
      </c>
      <c r="D126" s="4" t="s">
        <v>91</v>
      </c>
      <c r="E126" s="7"/>
      <c r="F126" s="4"/>
    </row>
    <row r="127" spans="1:6" x14ac:dyDescent="0.25">
      <c r="B127" s="4"/>
      <c r="C127" s="4">
        <f>C119</f>
        <v>0</v>
      </c>
      <c r="D127" s="4" t="s">
        <v>281</v>
      </c>
      <c r="E127" s="7" t="s">
        <v>2531</v>
      </c>
      <c r="F127" s="4"/>
    </row>
    <row r="128" spans="1:6" x14ac:dyDescent="0.25">
      <c r="B128" s="4"/>
      <c r="C128" s="4">
        <f>C120</f>
        <v>2500000</v>
      </c>
      <c r="D128" s="4" t="s">
        <v>105</v>
      </c>
      <c r="E128" s="7"/>
      <c r="F128" s="4"/>
    </row>
    <row r="129" spans="1:10" x14ac:dyDescent="0.25">
      <c r="B129" s="4"/>
      <c r="C129" s="4">
        <v>1</v>
      </c>
      <c r="D129" s="4" t="s">
        <v>328</v>
      </c>
      <c r="E129" s="7" t="s">
        <v>331</v>
      </c>
      <c r="F129" s="4"/>
    </row>
    <row r="130" spans="1:10" x14ac:dyDescent="0.25">
      <c r="B130" s="4"/>
      <c r="C130" s="4"/>
      <c r="D130" s="4"/>
      <c r="E130" s="7" t="s">
        <v>332</v>
      </c>
      <c r="F130" s="4"/>
    </row>
    <row r="131" spans="1:10" ht="22" thickBot="1" x14ac:dyDescent="0.3">
      <c r="B131" s="4"/>
      <c r="C131" s="4"/>
      <c r="D131" s="4"/>
      <c r="E131" s="4"/>
      <c r="F131" s="4"/>
    </row>
    <row r="132" spans="1:10" x14ac:dyDescent="0.25">
      <c r="A132" s="398" t="s">
        <v>333</v>
      </c>
      <c r="B132" s="390"/>
      <c r="C132" s="390"/>
      <c r="D132" s="390"/>
      <c r="E132" s="390"/>
      <c r="F132" s="390"/>
      <c r="G132" s="391"/>
      <c r="H132" s="391"/>
      <c r="I132" s="391"/>
      <c r="J132" s="392"/>
    </row>
    <row r="133" spans="1:10" x14ac:dyDescent="0.25">
      <c r="A133" s="399" t="s">
        <v>334</v>
      </c>
      <c r="B133" s="25"/>
      <c r="C133" s="25"/>
      <c r="D133" s="25"/>
      <c r="E133" s="25"/>
      <c r="F133" s="25"/>
      <c r="G133" s="19"/>
      <c r="H133" s="19"/>
      <c r="I133" s="19"/>
      <c r="J133" s="394"/>
    </row>
    <row r="134" spans="1:10" x14ac:dyDescent="0.25">
      <c r="A134" s="399" t="s">
        <v>335</v>
      </c>
      <c r="B134" s="25"/>
      <c r="C134" s="25"/>
      <c r="D134" s="25"/>
      <c r="E134" s="25"/>
      <c r="F134" s="25"/>
      <c r="G134" s="19"/>
      <c r="H134" s="19"/>
      <c r="I134" s="19"/>
      <c r="J134" s="394"/>
    </row>
    <row r="135" spans="1:10" ht="22" thickBot="1" x14ac:dyDescent="0.3">
      <c r="A135" s="400" t="s">
        <v>336</v>
      </c>
      <c r="B135" s="395"/>
      <c r="C135" s="395"/>
      <c r="D135" s="395"/>
      <c r="E135" s="395"/>
      <c r="F135" s="395"/>
      <c r="G135" s="396"/>
      <c r="H135" s="396"/>
      <c r="I135" s="396"/>
      <c r="J135" s="397"/>
    </row>
    <row r="136" spans="1:10" x14ac:dyDescent="0.25">
      <c r="B136" s="4"/>
      <c r="C136" s="4"/>
      <c r="D136" s="4"/>
      <c r="E136" s="4"/>
      <c r="F136" s="4"/>
    </row>
    <row r="137" spans="1:10" x14ac:dyDescent="0.25">
      <c r="A137" s="360" t="s">
        <v>337</v>
      </c>
      <c r="B137" s="361"/>
      <c r="C137" s="361"/>
      <c r="D137" s="361"/>
      <c r="E137" s="361"/>
      <c r="F137" s="361"/>
      <c r="G137" s="362"/>
      <c r="H137" s="362"/>
    </row>
    <row r="138" spans="1:10" x14ac:dyDescent="0.25">
      <c r="A138" s="1" t="s">
        <v>338</v>
      </c>
      <c r="B138" s="4"/>
      <c r="C138" s="4"/>
      <c r="D138" s="4"/>
      <c r="E138" s="4"/>
      <c r="F138" s="4"/>
    </row>
    <row r="139" spans="1:10" x14ac:dyDescent="0.25">
      <c r="A139" s="1" t="s">
        <v>339</v>
      </c>
      <c r="B139" s="4"/>
      <c r="C139" s="4"/>
      <c r="D139" s="4"/>
      <c r="E139" s="4"/>
      <c r="F139" s="4"/>
    </row>
    <row r="140" spans="1:10" x14ac:dyDescent="0.25">
      <c r="A140" s="401" t="s">
        <v>340</v>
      </c>
      <c r="B140" s="725" t="s">
        <v>341</v>
      </c>
      <c r="C140" s="725"/>
      <c r="D140" s="4"/>
      <c r="E140" s="4"/>
      <c r="F140" s="4"/>
    </row>
    <row r="141" spans="1:10" x14ac:dyDescent="0.25">
      <c r="A141" s="401" t="s">
        <v>342</v>
      </c>
      <c r="B141" s="402"/>
      <c r="C141" s="402"/>
      <c r="D141" s="4"/>
      <c r="E141" s="4"/>
      <c r="F141" s="4"/>
    </row>
    <row r="142" spans="1:10" x14ac:dyDescent="0.25">
      <c r="A142" s="405" t="s">
        <v>343</v>
      </c>
      <c r="B142" s="406"/>
      <c r="C142" s="406"/>
      <c r="D142" s="406"/>
      <c r="E142" s="406"/>
      <c r="F142" s="406"/>
    </row>
    <row r="143" spans="1:10" x14ac:dyDescent="0.25">
      <c r="A143" s="409" t="s">
        <v>344</v>
      </c>
      <c r="B143" s="410"/>
      <c r="C143" s="410"/>
      <c r="D143" s="410"/>
      <c r="E143" s="410"/>
      <c r="F143" s="410"/>
    </row>
    <row r="144" spans="1:10" x14ac:dyDescent="0.25">
      <c r="B144" s="4"/>
      <c r="C144" s="4"/>
      <c r="D144" s="4"/>
      <c r="E144" s="4"/>
      <c r="F144" s="4"/>
    </row>
    <row r="145" spans="1:6" x14ac:dyDescent="0.25">
      <c r="A145" s="1" t="s">
        <v>345</v>
      </c>
      <c r="B145" s="4"/>
      <c r="C145" s="4"/>
      <c r="D145" s="4"/>
      <c r="E145" s="4"/>
      <c r="F145" s="4"/>
    </row>
    <row r="146" spans="1:6" x14ac:dyDescent="0.25">
      <c r="B146" s="4"/>
      <c r="C146" s="4"/>
      <c r="D146" s="4"/>
      <c r="E146" s="4"/>
      <c r="F146" s="4"/>
    </row>
    <row r="147" spans="1:6" x14ac:dyDescent="0.25">
      <c r="A147" s="1" t="s">
        <v>2534</v>
      </c>
      <c r="B147" s="4"/>
      <c r="C147" s="4"/>
      <c r="D147" s="4"/>
      <c r="E147" s="4"/>
      <c r="F147" s="4"/>
    </row>
    <row r="148" spans="1:6" x14ac:dyDescent="0.25">
      <c r="A148" s="1" t="s">
        <v>2535</v>
      </c>
      <c r="B148" s="4"/>
      <c r="C148" s="4"/>
      <c r="D148" s="4"/>
      <c r="E148" s="4"/>
      <c r="F148" s="4"/>
    </row>
    <row r="149" spans="1:6" x14ac:dyDescent="0.25">
      <c r="A149" s="1" t="s">
        <v>2536</v>
      </c>
      <c r="B149" s="4"/>
      <c r="C149" s="4"/>
      <c r="D149" s="4"/>
      <c r="E149" s="4"/>
      <c r="F149" s="4"/>
    </row>
    <row r="150" spans="1:6" ht="22" thickBot="1" x14ac:dyDescent="0.3">
      <c r="B150" s="4"/>
      <c r="C150" s="4"/>
      <c r="D150" s="4"/>
      <c r="E150" s="4"/>
      <c r="F150" s="4"/>
    </row>
    <row r="151" spans="1:6" x14ac:dyDescent="0.25">
      <c r="B151" s="4"/>
      <c r="C151" s="575" t="s">
        <v>2539</v>
      </c>
      <c r="D151" s="575" t="s">
        <v>2538</v>
      </c>
      <c r="E151" s="380" t="s">
        <v>2537</v>
      </c>
      <c r="F151" s="371">
        <v>0</v>
      </c>
    </row>
    <row r="152" spans="1:6" x14ac:dyDescent="0.25">
      <c r="A152" s="1" t="s">
        <v>2569</v>
      </c>
      <c r="B152" s="4"/>
      <c r="C152" s="576"/>
      <c r="D152" s="576"/>
      <c r="E152" s="27"/>
      <c r="F152" s="414"/>
    </row>
    <row r="153" spans="1:6" x14ac:dyDescent="0.25">
      <c r="B153" s="4"/>
      <c r="C153" s="576" t="s">
        <v>2545</v>
      </c>
      <c r="D153" s="576" t="s">
        <v>2543</v>
      </c>
      <c r="E153" s="27" t="s">
        <v>2540</v>
      </c>
      <c r="F153" s="414">
        <v>-10000</v>
      </c>
    </row>
    <row r="154" spans="1:6" x14ac:dyDescent="0.25">
      <c r="B154" s="4"/>
      <c r="C154" s="576" t="s">
        <v>2546</v>
      </c>
      <c r="D154" s="576" t="s">
        <v>2544</v>
      </c>
      <c r="E154" s="27" t="s">
        <v>2541</v>
      </c>
      <c r="F154" s="414"/>
    </row>
    <row r="155" spans="1:6" ht="22" thickBot="1" x14ac:dyDescent="0.3">
      <c r="B155" s="4"/>
      <c r="C155" s="577" t="s">
        <v>2542</v>
      </c>
      <c r="D155" s="577" t="s">
        <v>2542</v>
      </c>
      <c r="E155" s="372" t="s">
        <v>2542</v>
      </c>
      <c r="F155" s="374"/>
    </row>
    <row r="156" spans="1:6" x14ac:dyDescent="0.25">
      <c r="B156" s="4"/>
      <c r="C156" s="4"/>
      <c r="D156" s="4"/>
      <c r="E156" s="4"/>
      <c r="F156" s="4"/>
    </row>
    <row r="157" spans="1:6" x14ac:dyDescent="0.25">
      <c r="B157" s="4"/>
      <c r="C157" s="4"/>
      <c r="D157" s="4"/>
      <c r="E157" s="4"/>
      <c r="F157" s="4"/>
    </row>
    <row r="158" spans="1:6" x14ac:dyDescent="0.25">
      <c r="B158" s="4"/>
      <c r="C158" s="4"/>
      <c r="D158" s="4"/>
      <c r="E158" s="4"/>
      <c r="F158" s="4"/>
    </row>
    <row r="159" spans="1:6" x14ac:dyDescent="0.25">
      <c r="B159" s="4"/>
      <c r="C159" s="410"/>
      <c r="D159" s="406"/>
      <c r="E159" s="402" t="s">
        <v>346</v>
      </c>
      <c r="F159" s="4"/>
    </row>
    <row r="160" spans="1:6" x14ac:dyDescent="0.25">
      <c r="B160" s="4"/>
      <c r="C160" s="410" t="s">
        <v>347</v>
      </c>
      <c r="D160" s="406" t="s">
        <v>348</v>
      </c>
      <c r="E160" s="402" t="s">
        <v>349</v>
      </c>
      <c r="F160" s="4"/>
    </row>
    <row r="161" spans="1:8" x14ac:dyDescent="0.25">
      <c r="B161" s="4"/>
      <c r="C161" s="411" t="s">
        <v>350</v>
      </c>
      <c r="D161" s="407" t="s">
        <v>351</v>
      </c>
      <c r="E161" s="403" t="s">
        <v>352</v>
      </c>
      <c r="F161" s="4"/>
    </row>
    <row r="162" spans="1:8" x14ac:dyDescent="0.25">
      <c r="B162" s="4"/>
      <c r="C162" s="412">
        <v>8.0000000000000002E-3</v>
      </c>
      <c r="D162" s="408">
        <v>8.0000000000000002E-3</v>
      </c>
      <c r="E162" s="404">
        <v>8.0000000000000002E-3</v>
      </c>
      <c r="F162" s="4" t="s">
        <v>87</v>
      </c>
    </row>
    <row r="163" spans="1:8" x14ac:dyDescent="0.25">
      <c r="B163" s="4"/>
      <c r="C163" s="410">
        <v>36</v>
      </c>
      <c r="D163" s="406">
        <f>5*12</f>
        <v>60</v>
      </c>
      <c r="E163" s="402">
        <v>24</v>
      </c>
      <c r="F163" s="4" t="s">
        <v>89</v>
      </c>
    </row>
    <row r="164" spans="1:8" x14ac:dyDescent="0.25">
      <c r="B164" s="4"/>
      <c r="C164" s="410">
        <v>-200</v>
      </c>
      <c r="D164" s="406">
        <v>0</v>
      </c>
      <c r="E164" s="402">
        <v>-1000</v>
      </c>
      <c r="F164" s="4" t="s">
        <v>91</v>
      </c>
    </row>
    <row r="165" spans="1:8" ht="22" thickBot="1" x14ac:dyDescent="0.3">
      <c r="B165" s="4"/>
      <c r="C165" s="413">
        <f>-D166</f>
        <v>-62020.4813617537</v>
      </c>
      <c r="D165" s="388">
        <f>-E166</f>
        <v>-38450.607520009129</v>
      </c>
      <c r="E165" s="402">
        <v>-10000</v>
      </c>
      <c r="F165" s="4" t="s">
        <v>281</v>
      </c>
    </row>
    <row r="166" spans="1:8" ht="27" thickBot="1" x14ac:dyDescent="0.35">
      <c r="B166" s="4"/>
      <c r="C166" s="662">
        <f>FV(C162,C163,C164,C165,C167)</f>
        <v>90931.281681329478</v>
      </c>
      <c r="D166" s="661">
        <f>FV(D162,D163,D164,D165)</f>
        <v>62020.4813617537</v>
      </c>
      <c r="E166" s="388">
        <f>FV(E162,E163,E164,E165,E167)</f>
        <v>38450.607520009129</v>
      </c>
      <c r="F166" s="4" t="s">
        <v>105</v>
      </c>
    </row>
    <row r="167" spans="1:8" ht="66" x14ac:dyDescent="0.25">
      <c r="B167" s="4"/>
      <c r="C167" s="410">
        <v>0</v>
      </c>
      <c r="D167" s="660" t="s">
        <v>2993</v>
      </c>
      <c r="E167" s="402">
        <v>0</v>
      </c>
      <c r="F167" s="4" t="s">
        <v>328</v>
      </c>
    </row>
    <row r="168" spans="1:8" x14ac:dyDescent="0.25">
      <c r="B168" s="4"/>
      <c r="C168" s="4"/>
      <c r="D168" s="4"/>
      <c r="E168" s="4"/>
      <c r="F168" s="4"/>
    </row>
    <row r="169" spans="1:8" x14ac:dyDescent="0.25">
      <c r="A169" s="19" t="s">
        <v>353</v>
      </c>
      <c r="B169" s="25"/>
      <c r="C169" s="25"/>
      <c r="D169" s="25"/>
      <c r="E169" s="4"/>
      <c r="F169" s="4"/>
    </row>
    <row r="170" spans="1:8" x14ac:dyDescent="0.25">
      <c r="A170" s="19" t="s">
        <v>354</v>
      </c>
      <c r="B170" s="25"/>
      <c r="C170" s="25"/>
      <c r="D170" s="25"/>
      <c r="E170" s="4"/>
      <c r="F170" s="4"/>
    </row>
    <row r="171" spans="1:8" x14ac:dyDescent="0.25">
      <c r="B171" s="4"/>
      <c r="C171" s="4"/>
      <c r="D171" s="4"/>
      <c r="E171" s="4"/>
      <c r="F171" s="4"/>
    </row>
    <row r="172" spans="1:8" x14ac:dyDescent="0.25">
      <c r="B172" s="4"/>
      <c r="C172" s="4"/>
      <c r="D172" s="4"/>
      <c r="E172" s="4"/>
      <c r="F172" s="4"/>
    </row>
    <row r="173" spans="1:8" x14ac:dyDescent="0.25">
      <c r="B173" s="4"/>
      <c r="C173" s="4"/>
      <c r="D173" s="4"/>
      <c r="E173" s="4"/>
      <c r="F173" s="4"/>
    </row>
    <row r="174" spans="1:8" x14ac:dyDescent="0.25">
      <c r="B174" s="4"/>
      <c r="C174" s="4"/>
      <c r="D174" s="4"/>
      <c r="E174" s="4"/>
      <c r="F174" s="4"/>
    </row>
    <row r="175" spans="1:8" x14ac:dyDescent="0.25">
      <c r="A175" s="360" t="s">
        <v>355</v>
      </c>
      <c r="B175" s="361"/>
      <c r="C175" s="361"/>
      <c r="D175" s="361"/>
      <c r="E175" s="361"/>
      <c r="F175" s="361" t="s">
        <v>780</v>
      </c>
      <c r="G175" s="362"/>
      <c r="H175" s="362"/>
    </row>
    <row r="176" spans="1:8" x14ac:dyDescent="0.25">
      <c r="A176" s="1" t="s">
        <v>356</v>
      </c>
      <c r="B176" s="4"/>
      <c r="C176" s="4"/>
      <c r="D176" s="4"/>
      <c r="E176" s="4"/>
      <c r="F176" s="4"/>
    </row>
    <row r="177" spans="1:10" x14ac:dyDescent="0.25">
      <c r="A177" s="1" t="s">
        <v>357</v>
      </c>
      <c r="B177" s="4"/>
      <c r="C177" s="4"/>
      <c r="D177" s="4"/>
      <c r="E177" s="4"/>
      <c r="F177" s="4"/>
    </row>
    <row r="178" spans="1:10" x14ac:dyDescent="0.25">
      <c r="A178" s="1" t="s">
        <v>321</v>
      </c>
      <c r="B178" s="4"/>
      <c r="C178" s="4"/>
      <c r="D178" s="4"/>
      <c r="E178" s="4"/>
      <c r="F178" s="4"/>
    </row>
    <row r="179" spans="1:10" x14ac:dyDescent="0.25">
      <c r="A179" s="1" t="s">
        <v>358</v>
      </c>
      <c r="B179" s="4"/>
      <c r="C179" s="4"/>
      <c r="D179" s="4"/>
      <c r="E179" s="4"/>
      <c r="F179" s="4"/>
    </row>
    <row r="180" spans="1:10" x14ac:dyDescent="0.25">
      <c r="A180" s="1" t="s">
        <v>359</v>
      </c>
      <c r="B180" s="4"/>
      <c r="C180" s="4"/>
      <c r="D180" s="4"/>
      <c r="E180" s="4"/>
      <c r="F180" s="4"/>
    </row>
    <row r="181" spans="1:10" x14ac:dyDescent="0.25">
      <c r="A181" s="1" t="s">
        <v>360</v>
      </c>
      <c r="B181" s="4"/>
      <c r="C181" s="4"/>
      <c r="D181" s="4"/>
      <c r="E181" s="4"/>
      <c r="F181" s="4"/>
    </row>
    <row r="182" spans="1:10" x14ac:dyDescent="0.25">
      <c r="A182" s="1" t="s">
        <v>361</v>
      </c>
      <c r="B182" s="4"/>
      <c r="C182" s="4"/>
      <c r="D182" s="4"/>
      <c r="E182" s="4"/>
      <c r="F182" s="4"/>
    </row>
    <row r="183" spans="1:10" x14ac:dyDescent="0.25">
      <c r="B183" s="4"/>
      <c r="C183" s="4"/>
      <c r="D183" s="4"/>
      <c r="E183" s="4"/>
      <c r="F183" s="4"/>
    </row>
    <row r="184" spans="1:10" x14ac:dyDescent="0.25">
      <c r="B184" s="4"/>
      <c r="C184" s="4"/>
      <c r="D184" s="4"/>
      <c r="E184" s="4"/>
      <c r="F184" s="4"/>
    </row>
    <row r="185" spans="1:10" ht="22" thickBot="1" x14ac:dyDescent="0.3">
      <c r="A185" s="19" t="s">
        <v>111</v>
      </c>
      <c r="B185" s="4"/>
      <c r="C185" s="4"/>
      <c r="D185" s="4"/>
      <c r="E185" s="4"/>
      <c r="F185" s="4"/>
    </row>
    <row r="186" spans="1:10" ht="22" thickBot="1" x14ac:dyDescent="0.3">
      <c r="A186" s="416" t="s">
        <v>362</v>
      </c>
      <c r="B186" s="4" t="s">
        <v>363</v>
      </c>
      <c r="C186" s="417" t="s">
        <v>364</v>
      </c>
      <c r="D186" s="4" t="s">
        <v>2994</v>
      </c>
      <c r="E186" s="4" t="s">
        <v>365</v>
      </c>
      <c r="F186" s="4"/>
      <c r="G186" s="417" t="s">
        <v>366</v>
      </c>
      <c r="H186" s="4" t="s">
        <v>367</v>
      </c>
    </row>
    <row r="187" spans="1:10" x14ac:dyDescent="0.25">
      <c r="A187" s="418">
        <v>0.04</v>
      </c>
      <c r="B187" s="371" t="s">
        <v>87</v>
      </c>
      <c r="C187" s="380"/>
      <c r="D187" s="420">
        <v>0.04</v>
      </c>
      <c r="E187" s="420">
        <v>0.04</v>
      </c>
      <c r="F187" s="371" t="s">
        <v>368</v>
      </c>
      <c r="G187" s="380"/>
      <c r="H187" s="420">
        <v>0.04</v>
      </c>
      <c r="I187" s="370" t="s">
        <v>368</v>
      </c>
      <c r="J187" s="382"/>
    </row>
    <row r="188" spans="1:10" x14ac:dyDescent="0.25">
      <c r="A188" s="27">
        <v>5</v>
      </c>
      <c r="B188" s="414" t="s">
        <v>89</v>
      </c>
      <c r="C188" s="27"/>
      <c r="D188" s="4">
        <v>3</v>
      </c>
      <c r="E188" s="4">
        <v>2</v>
      </c>
      <c r="F188" s="414" t="s">
        <v>89</v>
      </c>
      <c r="G188" s="28"/>
      <c r="H188" s="4">
        <v>4</v>
      </c>
      <c r="I188" s="4" t="s">
        <v>89</v>
      </c>
      <c r="J188" s="383"/>
    </row>
    <row r="189" spans="1:10" x14ac:dyDescent="0.25">
      <c r="A189" s="27">
        <v>0</v>
      </c>
      <c r="B189" s="414" t="s">
        <v>91</v>
      </c>
      <c r="C189" s="27"/>
      <c r="D189" s="4">
        <v>0</v>
      </c>
      <c r="E189" s="4">
        <v>0</v>
      </c>
      <c r="F189" s="414" t="s">
        <v>91</v>
      </c>
      <c r="G189" s="28"/>
      <c r="H189" s="4">
        <v>0</v>
      </c>
      <c r="I189" s="4" t="s">
        <v>91</v>
      </c>
      <c r="J189" s="383"/>
    </row>
    <row r="190" spans="1:10" x14ac:dyDescent="0.25">
      <c r="A190" s="27">
        <v>-40000</v>
      </c>
      <c r="B190" s="414" t="s">
        <v>281</v>
      </c>
      <c r="C190" s="27"/>
      <c r="D190" s="422">
        <f>-E191-10000</f>
        <v>-53264.000000000007</v>
      </c>
      <c r="E190" s="4">
        <v>-40000</v>
      </c>
      <c r="F190" s="414" t="s">
        <v>281</v>
      </c>
      <c r="G190" s="28"/>
      <c r="H190" s="4">
        <v>-70000</v>
      </c>
      <c r="I190" s="4" t="s">
        <v>281</v>
      </c>
      <c r="J190" s="383"/>
    </row>
    <row r="191" spans="1:10" x14ac:dyDescent="0.25">
      <c r="A191" s="419">
        <f>FV(A187,A188,A189,A190)</f>
        <v>48666.116096000012</v>
      </c>
      <c r="B191" s="414" t="s">
        <v>105</v>
      </c>
      <c r="C191" s="27"/>
      <c r="D191" s="663">
        <f>FV(D187,D188,D189,D190)</f>
        <v>59914.756096000012</v>
      </c>
      <c r="E191" s="419">
        <f>FV(E187,E188,E189,E190)</f>
        <v>43264.000000000007</v>
      </c>
      <c r="F191" s="414" t="s">
        <v>105</v>
      </c>
      <c r="G191" s="28"/>
      <c r="H191" s="419">
        <f>FV(H187,H188,H189,H190)</f>
        <v>81890.099200000011</v>
      </c>
      <c r="I191" s="4" t="s">
        <v>105</v>
      </c>
      <c r="J191" s="383"/>
    </row>
    <row r="192" spans="1:10" x14ac:dyDescent="0.25">
      <c r="A192" s="393" t="s">
        <v>369</v>
      </c>
      <c r="B192" s="414"/>
      <c r="C192" s="27"/>
      <c r="D192" s="393" t="s">
        <v>369</v>
      </c>
      <c r="E192" s="4"/>
      <c r="F192" s="414"/>
      <c r="G192" s="28"/>
      <c r="H192" s="393" t="s">
        <v>369</v>
      </c>
      <c r="J192" s="383"/>
    </row>
    <row r="193" spans="1:10" x14ac:dyDescent="0.25">
      <c r="A193" s="28" t="s">
        <v>370</v>
      </c>
      <c r="B193" s="414"/>
      <c r="C193" s="27"/>
      <c r="D193" s="1" t="s">
        <v>370</v>
      </c>
      <c r="E193" s="4"/>
      <c r="F193" s="414"/>
      <c r="G193" s="28" t="s">
        <v>370</v>
      </c>
      <c r="J193" s="383"/>
    </row>
    <row r="194" spans="1:10" ht="22" thickBot="1" x14ac:dyDescent="0.3">
      <c r="A194" s="415"/>
      <c r="B194" s="374" t="s">
        <v>371</v>
      </c>
      <c r="C194" s="372"/>
      <c r="D194" s="373"/>
      <c r="E194" s="373" t="s">
        <v>371</v>
      </c>
      <c r="F194" s="374"/>
      <c r="G194" s="415"/>
      <c r="H194" s="384" t="s">
        <v>371</v>
      </c>
      <c r="I194" s="384"/>
      <c r="J194" s="385"/>
    </row>
    <row r="195" spans="1:10" x14ac:dyDescent="0.25">
      <c r="A195" s="1" t="s">
        <v>372</v>
      </c>
      <c r="B195" s="421">
        <f>100000-A191</f>
        <v>51333.883903999988</v>
      </c>
      <c r="C195" s="4"/>
      <c r="D195" s="1" t="s">
        <v>372</v>
      </c>
      <c r="E195" s="421">
        <f>100000-D191</f>
        <v>40085.243903999988</v>
      </c>
      <c r="F195" s="4"/>
      <c r="H195" s="1" t="s">
        <v>372</v>
      </c>
      <c r="I195" s="726">
        <f>100000-H191</f>
        <v>18109.900799999989</v>
      </c>
      <c r="J195" s="726"/>
    </row>
    <row r="196" spans="1:10" x14ac:dyDescent="0.25">
      <c r="B196" s="421"/>
      <c r="C196" s="4"/>
      <c r="E196" s="421"/>
      <c r="F196" s="4"/>
      <c r="I196" s="421"/>
      <c r="J196" s="421"/>
    </row>
    <row r="197" spans="1:10" x14ac:dyDescent="0.25">
      <c r="B197" s="4"/>
      <c r="C197" s="4"/>
      <c r="D197" s="4"/>
      <c r="E197" s="4"/>
      <c r="F197" s="4"/>
      <c r="G197" s="1" t="s">
        <v>373</v>
      </c>
    </row>
    <row r="198" spans="1:10" x14ac:dyDescent="0.25">
      <c r="B198" s="4"/>
      <c r="C198" s="4"/>
      <c r="D198" s="4"/>
      <c r="E198" s="4"/>
      <c r="F198" s="4"/>
      <c r="G198" s="1" t="s">
        <v>374</v>
      </c>
    </row>
    <row r="199" spans="1:10" x14ac:dyDescent="0.25">
      <c r="B199" s="4"/>
      <c r="C199" s="4"/>
      <c r="D199" s="4"/>
      <c r="E199" s="4"/>
      <c r="F199" s="4"/>
      <c r="G199" s="1" t="s">
        <v>375</v>
      </c>
    </row>
    <row r="200" spans="1:10" x14ac:dyDescent="0.25">
      <c r="B200" s="4"/>
      <c r="C200" s="4"/>
      <c r="D200" s="4"/>
      <c r="E200" s="4"/>
      <c r="F200" s="4"/>
      <c r="G200" s="1" t="s">
        <v>376</v>
      </c>
    </row>
    <row r="201" spans="1:10" ht="22" thickBot="1" x14ac:dyDescent="0.3">
      <c r="B201" s="4"/>
      <c r="C201" s="4"/>
      <c r="D201" s="4"/>
      <c r="E201" s="4"/>
      <c r="F201" s="4"/>
    </row>
    <row r="202" spans="1:10" x14ac:dyDescent="0.25">
      <c r="A202" s="423" t="s">
        <v>377</v>
      </c>
      <c r="B202" s="424"/>
      <c r="C202" s="424"/>
      <c r="D202" s="370"/>
      <c r="E202" s="370"/>
      <c r="F202" s="370"/>
      <c r="G202" s="381"/>
      <c r="H202" s="381"/>
      <c r="I202" s="381"/>
      <c r="J202" s="382"/>
    </row>
    <row r="203" spans="1:10" x14ac:dyDescent="0.25">
      <c r="A203" s="28" t="s">
        <v>378</v>
      </c>
      <c r="B203" s="4"/>
      <c r="C203" s="4"/>
      <c r="D203" s="4"/>
      <c r="E203" s="4"/>
      <c r="F203" s="4"/>
      <c r="J203" s="383"/>
    </row>
    <row r="204" spans="1:10" x14ac:dyDescent="0.25">
      <c r="A204" s="28" t="s">
        <v>379</v>
      </c>
      <c r="B204" s="4"/>
      <c r="C204" s="4"/>
      <c r="D204" s="4"/>
      <c r="E204" s="4"/>
      <c r="F204" s="4"/>
      <c r="J204" s="383"/>
    </row>
    <row r="205" spans="1:10" x14ac:dyDescent="0.25">
      <c r="A205" s="28" t="s">
        <v>380</v>
      </c>
      <c r="B205" s="4"/>
      <c r="C205" s="4"/>
      <c r="D205" s="4"/>
      <c r="E205" s="4"/>
      <c r="F205" s="4"/>
      <c r="J205" s="383"/>
    </row>
    <row r="206" spans="1:10" x14ac:dyDescent="0.25">
      <c r="A206" s="28"/>
      <c r="B206" s="4" t="s">
        <v>381</v>
      </c>
      <c r="C206" s="4"/>
      <c r="D206" s="4"/>
      <c r="E206" s="4"/>
      <c r="F206" s="4"/>
      <c r="J206" s="383"/>
    </row>
    <row r="207" spans="1:10" ht="22" thickBot="1" x14ac:dyDescent="0.3">
      <c r="A207" s="415"/>
      <c r="B207" s="425" t="s">
        <v>382</v>
      </c>
      <c r="C207" s="373"/>
      <c r="D207" s="373"/>
      <c r="E207" s="373"/>
      <c r="F207" s="373"/>
      <c r="G207" s="384"/>
      <c r="H207" s="384"/>
      <c r="I207" s="384"/>
      <c r="J207" s="385"/>
    </row>
    <row r="208" spans="1:10" x14ac:dyDescent="0.25">
      <c r="B208" s="4"/>
      <c r="C208" s="4"/>
      <c r="D208" s="4"/>
      <c r="E208" s="4"/>
      <c r="F208" s="4"/>
    </row>
    <row r="209" spans="1:8" x14ac:dyDescent="0.25">
      <c r="B209" s="4"/>
      <c r="C209" s="4"/>
      <c r="D209" s="4"/>
      <c r="E209" s="4"/>
      <c r="F209" s="4"/>
    </row>
    <row r="210" spans="1:8" x14ac:dyDescent="0.25">
      <c r="B210" s="4"/>
      <c r="C210" s="4"/>
      <c r="D210" s="4"/>
      <c r="E210" s="4"/>
      <c r="F210" s="4"/>
    </row>
    <row r="211" spans="1:8" x14ac:dyDescent="0.25">
      <c r="B211" s="4"/>
      <c r="C211" s="4"/>
      <c r="D211" s="4"/>
      <c r="E211" s="4"/>
      <c r="F211" s="4"/>
    </row>
    <row r="212" spans="1:8" x14ac:dyDescent="0.25">
      <c r="B212" s="4"/>
      <c r="C212" s="4"/>
      <c r="D212" s="4"/>
      <c r="E212" s="4"/>
      <c r="F212" s="4"/>
    </row>
    <row r="213" spans="1:8" x14ac:dyDescent="0.25">
      <c r="B213" s="4"/>
      <c r="C213" s="4"/>
      <c r="D213" s="4"/>
      <c r="E213" s="4"/>
      <c r="F213" s="4"/>
    </row>
    <row r="214" spans="1:8" x14ac:dyDescent="0.25">
      <c r="A214" s="360" t="s">
        <v>383</v>
      </c>
      <c r="B214" s="361"/>
      <c r="C214" s="361"/>
      <c r="D214" s="361"/>
      <c r="E214" s="363" t="s">
        <v>384</v>
      </c>
      <c r="F214" s="361"/>
      <c r="G214" s="362"/>
      <c r="H214" s="362"/>
    </row>
    <row r="215" spans="1:8" x14ac:dyDescent="0.25">
      <c r="A215" s="1" t="s">
        <v>385</v>
      </c>
      <c r="B215" s="4"/>
      <c r="C215" s="4"/>
      <c r="D215" s="4"/>
      <c r="E215" s="4"/>
      <c r="F215" s="4"/>
    </row>
    <row r="216" spans="1:8" x14ac:dyDescent="0.25">
      <c r="A216" s="1" t="s">
        <v>386</v>
      </c>
      <c r="B216" s="4"/>
      <c r="C216" s="4"/>
      <c r="D216" s="4"/>
      <c r="E216" s="4"/>
      <c r="F216" s="4"/>
    </row>
    <row r="217" spans="1:8" x14ac:dyDescent="0.25">
      <c r="B217" s="4"/>
      <c r="C217" s="4"/>
      <c r="D217" s="4"/>
      <c r="E217" s="4"/>
      <c r="F217" s="4"/>
    </row>
    <row r="218" spans="1:8" x14ac:dyDescent="0.25">
      <c r="A218" s="1" t="s">
        <v>111</v>
      </c>
      <c r="B218" s="4"/>
      <c r="C218" s="4"/>
      <c r="D218" s="4"/>
      <c r="E218" s="4"/>
      <c r="F218" s="4"/>
    </row>
    <row r="219" spans="1:8" x14ac:dyDescent="0.25">
      <c r="B219" s="4"/>
      <c r="C219" s="4" t="s">
        <v>387</v>
      </c>
      <c r="D219" s="4" t="s">
        <v>388</v>
      </c>
      <c r="E219" s="4"/>
      <c r="F219" s="4"/>
    </row>
    <row r="220" spans="1:8" x14ac:dyDescent="0.25">
      <c r="B220" s="4"/>
      <c r="C220" s="387">
        <f>D220</f>
        <v>4.4999999999999997E-3</v>
      </c>
      <c r="D220" s="387">
        <v>4.4999999999999997E-3</v>
      </c>
      <c r="E220" s="4" t="s">
        <v>87</v>
      </c>
      <c r="F220" s="4"/>
    </row>
    <row r="221" spans="1:8" x14ac:dyDescent="0.25">
      <c r="B221" s="4"/>
      <c r="C221" s="4">
        <f>4*12</f>
        <v>48</v>
      </c>
      <c r="D221" s="4">
        <f>3*12</f>
        <v>36</v>
      </c>
      <c r="E221" s="4" t="s">
        <v>89</v>
      </c>
      <c r="F221" s="4"/>
    </row>
    <row r="222" spans="1:8" x14ac:dyDescent="0.25">
      <c r="B222" s="4"/>
      <c r="C222" s="378">
        <f>-D224</f>
        <v>-38985.11097309395</v>
      </c>
      <c r="D222" s="4">
        <v>0</v>
      </c>
      <c r="E222" s="4" t="s">
        <v>281</v>
      </c>
      <c r="F222" s="4"/>
    </row>
    <row r="223" spans="1:8" x14ac:dyDescent="0.25">
      <c r="B223" s="4"/>
      <c r="C223" s="4">
        <f>-1500</f>
        <v>-1500</v>
      </c>
      <c r="D223" s="4">
        <v>-1000</v>
      </c>
      <c r="E223" s="4" t="s">
        <v>91</v>
      </c>
      <c r="F223" s="4"/>
    </row>
    <row r="224" spans="1:8" x14ac:dyDescent="0.25">
      <c r="B224" s="4"/>
      <c r="C224" s="379">
        <f>FV(C220,C221,C223,C222,C225)</f>
        <v>128528.12587348794</v>
      </c>
      <c r="D224" s="378">
        <f>FV(D220,D221,D223,D222,D225)</f>
        <v>38985.11097309395</v>
      </c>
      <c r="E224" s="4" t="s">
        <v>105</v>
      </c>
      <c r="F224" s="4"/>
    </row>
    <row r="225" spans="1:8" x14ac:dyDescent="0.25">
      <c r="B225" s="4"/>
      <c r="C225" s="4">
        <f>D225</f>
        <v>0</v>
      </c>
      <c r="D225" s="4">
        <v>0</v>
      </c>
      <c r="E225" s="4" t="s">
        <v>328</v>
      </c>
      <c r="F225" s="4"/>
    </row>
    <row r="226" spans="1:8" x14ac:dyDescent="0.25">
      <c r="B226" s="4"/>
      <c r="C226" s="4"/>
      <c r="D226" s="4"/>
      <c r="E226" s="4"/>
      <c r="F226" s="4"/>
    </row>
    <row r="227" spans="1:8" x14ac:dyDescent="0.25">
      <c r="A227" s="1" t="s">
        <v>389</v>
      </c>
      <c r="B227" s="4"/>
      <c r="C227" s="4"/>
      <c r="D227" s="4"/>
      <c r="E227" s="4"/>
      <c r="F227" s="4"/>
    </row>
    <row r="228" spans="1:8" x14ac:dyDescent="0.25">
      <c r="B228" s="4"/>
      <c r="C228" s="4"/>
      <c r="D228" s="4"/>
      <c r="E228" s="4"/>
      <c r="F228" s="4"/>
    </row>
    <row r="229" spans="1:8" x14ac:dyDescent="0.25">
      <c r="A229" s="360" t="s">
        <v>390</v>
      </c>
      <c r="B229" s="361"/>
      <c r="C229" s="361"/>
      <c r="D229" s="361"/>
      <c r="E229" s="363" t="s">
        <v>384</v>
      </c>
      <c r="F229" s="361"/>
      <c r="G229" s="362"/>
      <c r="H229" s="362"/>
    </row>
    <row r="230" spans="1:8" x14ac:dyDescent="0.25">
      <c r="A230" s="1" t="s">
        <v>391</v>
      </c>
      <c r="B230" s="4"/>
      <c r="C230" s="4"/>
      <c r="D230" s="4"/>
      <c r="E230" s="4"/>
      <c r="F230" s="4"/>
    </row>
    <row r="231" spans="1:8" x14ac:dyDescent="0.25">
      <c r="A231" s="1" t="s">
        <v>392</v>
      </c>
      <c r="B231" s="4"/>
      <c r="C231" s="4"/>
      <c r="D231" s="4"/>
      <c r="E231" s="4"/>
      <c r="F231" s="4"/>
    </row>
    <row r="232" spans="1:8" x14ac:dyDescent="0.25">
      <c r="A232" s="1" t="s">
        <v>393</v>
      </c>
      <c r="B232" s="4"/>
      <c r="C232" s="4"/>
      <c r="D232" s="4"/>
      <c r="E232" s="4"/>
      <c r="F232" s="4"/>
    </row>
    <row r="233" spans="1:8" x14ac:dyDescent="0.25">
      <c r="A233" s="1" t="s">
        <v>394</v>
      </c>
      <c r="B233" s="4"/>
      <c r="C233" s="4"/>
      <c r="D233" s="4"/>
      <c r="E233" s="4"/>
      <c r="F233" s="4"/>
    </row>
    <row r="234" spans="1:8" x14ac:dyDescent="0.25">
      <c r="B234" s="4"/>
      <c r="C234" s="4"/>
      <c r="D234" s="4"/>
      <c r="E234" s="4"/>
      <c r="F234" s="4"/>
    </row>
    <row r="235" spans="1:8" x14ac:dyDescent="0.25">
      <c r="A235" s="1" t="s">
        <v>111</v>
      </c>
      <c r="B235" s="4"/>
      <c r="C235" s="4"/>
      <c r="D235" s="4"/>
      <c r="E235" s="4"/>
      <c r="F235" s="4"/>
    </row>
    <row r="236" spans="1:8" x14ac:dyDescent="0.25">
      <c r="B236" s="4"/>
      <c r="C236" s="4"/>
      <c r="D236" s="4" t="s">
        <v>388</v>
      </c>
      <c r="E236" s="4"/>
      <c r="F236" s="4"/>
    </row>
    <row r="237" spans="1:8" x14ac:dyDescent="0.25">
      <c r="B237" s="4"/>
      <c r="C237" s="4"/>
      <c r="D237" s="387">
        <v>0.05</v>
      </c>
      <c r="E237" s="4" t="s">
        <v>87</v>
      </c>
      <c r="F237" s="4"/>
    </row>
    <row r="238" spans="1:8" x14ac:dyDescent="0.25">
      <c r="B238" s="4"/>
      <c r="C238" s="4"/>
      <c r="D238" s="4">
        <v>40</v>
      </c>
      <c r="E238" s="4" t="s">
        <v>89</v>
      </c>
      <c r="F238" s="4"/>
    </row>
    <row r="239" spans="1:8" x14ac:dyDescent="0.25">
      <c r="B239" s="4"/>
      <c r="C239" s="4"/>
      <c r="D239" s="4">
        <v>0</v>
      </c>
      <c r="E239" s="4" t="s">
        <v>281</v>
      </c>
      <c r="F239" s="4"/>
    </row>
    <row r="240" spans="1:8" x14ac:dyDescent="0.25">
      <c r="B240" s="4"/>
      <c r="C240" s="4"/>
      <c r="D240" s="379">
        <f>PMT(D237,D238,D239,D241,D242)</f>
        <v>-11825.944522907137</v>
      </c>
      <c r="E240" s="4" t="s">
        <v>91</v>
      </c>
      <c r="F240" s="4"/>
    </row>
    <row r="241" spans="1:8" x14ac:dyDescent="0.25">
      <c r="B241" s="4"/>
      <c r="C241" s="4"/>
      <c r="D241" s="378">
        <v>1500000</v>
      </c>
      <c r="E241" s="4" t="s">
        <v>105</v>
      </c>
      <c r="F241" s="4"/>
    </row>
    <row r="242" spans="1:8" x14ac:dyDescent="0.25">
      <c r="B242" s="4"/>
      <c r="C242" s="4"/>
      <c r="D242" s="4">
        <v>1</v>
      </c>
      <c r="E242" s="4" t="s">
        <v>328</v>
      </c>
      <c r="F242" s="4"/>
    </row>
    <row r="243" spans="1:8" x14ac:dyDescent="0.25">
      <c r="B243" s="4"/>
      <c r="C243" s="4"/>
      <c r="D243" s="4"/>
      <c r="E243" s="4"/>
      <c r="F243" s="4"/>
    </row>
    <row r="244" spans="1:8" x14ac:dyDescent="0.25">
      <c r="B244" s="4"/>
      <c r="C244" s="4"/>
      <c r="D244" s="4"/>
      <c r="E244" s="4"/>
      <c r="F244" s="4"/>
    </row>
    <row r="245" spans="1:8" x14ac:dyDescent="0.25">
      <c r="A245" s="360" t="s">
        <v>395</v>
      </c>
      <c r="B245" s="361"/>
      <c r="C245" s="361"/>
      <c r="D245" s="361"/>
      <c r="E245" s="363" t="s">
        <v>384</v>
      </c>
      <c r="F245" s="361"/>
      <c r="G245" s="362"/>
      <c r="H245" s="362"/>
    </row>
    <row r="246" spans="1:8" x14ac:dyDescent="0.25">
      <c r="A246" s="1" t="s">
        <v>396</v>
      </c>
      <c r="B246" s="4"/>
      <c r="C246" s="4"/>
      <c r="D246" s="4"/>
      <c r="E246" s="4"/>
      <c r="F246" s="4"/>
    </row>
    <row r="247" spans="1:8" x14ac:dyDescent="0.25">
      <c r="A247" s="1" t="s">
        <v>397</v>
      </c>
      <c r="B247" s="4"/>
      <c r="C247" s="4"/>
      <c r="D247" s="4"/>
      <c r="E247" s="4"/>
      <c r="F247" s="4"/>
    </row>
    <row r="248" spans="1:8" x14ac:dyDescent="0.25">
      <c r="A248" s="1" t="s">
        <v>398</v>
      </c>
      <c r="B248" s="4"/>
      <c r="C248" s="4"/>
      <c r="D248" s="4"/>
      <c r="E248" s="4"/>
      <c r="F248" s="4"/>
    </row>
    <row r="249" spans="1:8" x14ac:dyDescent="0.25">
      <c r="A249" s="1" t="s">
        <v>399</v>
      </c>
      <c r="B249" s="4"/>
      <c r="C249" s="4"/>
      <c r="D249" s="4"/>
      <c r="E249" s="4"/>
      <c r="F249" s="4"/>
    </row>
    <row r="250" spans="1:8" x14ac:dyDescent="0.25">
      <c r="A250" s="1" t="s">
        <v>400</v>
      </c>
      <c r="B250" s="4"/>
      <c r="C250" s="4"/>
      <c r="D250" s="4"/>
      <c r="E250" s="4"/>
      <c r="F250" s="4"/>
    </row>
    <row r="251" spans="1:8" x14ac:dyDescent="0.25">
      <c r="A251" s="1" t="s">
        <v>401</v>
      </c>
      <c r="B251" s="4"/>
      <c r="C251" s="4"/>
      <c r="D251" s="4"/>
      <c r="E251" s="4"/>
      <c r="F251" s="4"/>
    </row>
    <row r="252" spans="1:8" x14ac:dyDescent="0.25">
      <c r="A252" s="1" t="s">
        <v>402</v>
      </c>
      <c r="B252" s="4"/>
      <c r="C252" s="4"/>
      <c r="D252" s="4"/>
      <c r="E252" s="4"/>
      <c r="F252" s="4"/>
    </row>
    <row r="253" spans="1:8" x14ac:dyDescent="0.25">
      <c r="A253" s="1" t="s">
        <v>403</v>
      </c>
      <c r="B253" s="4"/>
      <c r="C253" s="4"/>
      <c r="D253" s="4"/>
      <c r="E253" s="4"/>
      <c r="F253" s="4"/>
    </row>
    <row r="254" spans="1:8" x14ac:dyDescent="0.25">
      <c r="A254" s="1" t="s">
        <v>404</v>
      </c>
      <c r="B254" s="4"/>
      <c r="C254" s="4"/>
      <c r="D254" s="4"/>
      <c r="E254" s="4"/>
      <c r="F254" s="4"/>
    </row>
    <row r="255" spans="1:8" x14ac:dyDescent="0.25">
      <c r="B255" s="4"/>
      <c r="C255" s="4"/>
      <c r="D255" s="4"/>
      <c r="E255" s="4"/>
      <c r="F255" s="4"/>
    </row>
    <row r="256" spans="1:8" x14ac:dyDescent="0.25">
      <c r="A256" s="1" t="s">
        <v>111</v>
      </c>
      <c r="B256" s="4"/>
      <c r="C256" s="4"/>
      <c r="D256" s="4"/>
      <c r="E256" s="4" t="s">
        <v>405</v>
      </c>
      <c r="F256" s="4"/>
    </row>
    <row r="257" spans="1:8" x14ac:dyDescent="0.25">
      <c r="B257" s="4"/>
      <c r="C257" s="4"/>
      <c r="D257" s="387"/>
      <c r="E257" s="387">
        <v>2.5000000000000001E-3</v>
      </c>
      <c r="F257" s="4" t="s">
        <v>87</v>
      </c>
    </row>
    <row r="258" spans="1:8" x14ac:dyDescent="0.25">
      <c r="B258" s="4"/>
      <c r="C258" s="4"/>
      <c r="D258" s="4"/>
      <c r="E258" s="4">
        <v>6</v>
      </c>
      <c r="F258" s="4" t="s">
        <v>89</v>
      </c>
    </row>
    <row r="259" spans="1:8" x14ac:dyDescent="0.25">
      <c r="B259" s="4"/>
      <c r="C259" s="4"/>
      <c r="D259" s="378"/>
      <c r="E259" s="4">
        <v>-50000</v>
      </c>
      <c r="F259" s="4" t="s">
        <v>281</v>
      </c>
    </row>
    <row r="260" spans="1:8" x14ac:dyDescent="0.25">
      <c r="B260" s="4"/>
      <c r="C260" s="4"/>
      <c r="D260" s="4"/>
      <c r="E260" s="4">
        <v>-70000</v>
      </c>
      <c r="F260" s="4" t="s">
        <v>91</v>
      </c>
    </row>
    <row r="261" spans="1:8" x14ac:dyDescent="0.25">
      <c r="B261" s="4"/>
      <c r="C261" s="4"/>
      <c r="D261" s="4"/>
      <c r="E261" s="379">
        <f>FV(E257,E258,E260,E259,E262)</f>
        <v>473388.46957697801</v>
      </c>
      <c r="F261" s="4" t="s">
        <v>105</v>
      </c>
    </row>
    <row r="262" spans="1:8" x14ac:dyDescent="0.25">
      <c r="B262" s="4"/>
      <c r="C262" s="4"/>
      <c r="D262" s="4"/>
      <c r="E262" s="4">
        <v>0</v>
      </c>
      <c r="F262" s="4" t="s">
        <v>328</v>
      </c>
    </row>
    <row r="263" spans="1:8" x14ac:dyDescent="0.25">
      <c r="B263" s="4"/>
      <c r="C263" s="4"/>
      <c r="D263" s="4"/>
      <c r="E263" s="4"/>
      <c r="F263" s="4"/>
    </row>
    <row r="264" spans="1:8" x14ac:dyDescent="0.25">
      <c r="A264" s="1" t="s">
        <v>406</v>
      </c>
      <c r="B264" s="4"/>
      <c r="C264" s="378">
        <f>500000-E261</f>
        <v>26611.530423021992</v>
      </c>
      <c r="D264" s="7" t="s">
        <v>407</v>
      </c>
      <c r="E264" s="4"/>
      <c r="F264" s="4"/>
    </row>
    <row r="265" spans="1:8" x14ac:dyDescent="0.25">
      <c r="B265" s="4"/>
      <c r="C265" s="4"/>
      <c r="D265" s="4"/>
      <c r="E265" s="4"/>
      <c r="F265" s="4"/>
    </row>
    <row r="266" spans="1:8" x14ac:dyDescent="0.25">
      <c r="B266" s="4"/>
      <c r="C266" s="4"/>
      <c r="D266" s="4"/>
      <c r="E266" s="4"/>
      <c r="F266" s="4"/>
    </row>
    <row r="267" spans="1:8" x14ac:dyDescent="0.25">
      <c r="B267" s="4"/>
      <c r="C267" s="4"/>
      <c r="D267" s="4"/>
      <c r="E267" s="4"/>
      <c r="F267" s="4"/>
    </row>
    <row r="268" spans="1:8" x14ac:dyDescent="0.25">
      <c r="B268" s="4"/>
      <c r="C268" s="4"/>
      <c r="D268" s="4"/>
      <c r="E268" s="4"/>
      <c r="F268" s="4"/>
    </row>
    <row r="269" spans="1:8" x14ac:dyDescent="0.25">
      <c r="B269" s="4"/>
      <c r="C269" s="4"/>
      <c r="D269" s="4"/>
      <c r="E269" s="4"/>
      <c r="F269" s="4"/>
    </row>
    <row r="270" spans="1:8" x14ac:dyDescent="0.25">
      <c r="B270" s="4"/>
      <c r="C270" s="4"/>
      <c r="D270" s="4"/>
      <c r="E270" s="4"/>
      <c r="F270" s="4"/>
    </row>
    <row r="271" spans="1:8" x14ac:dyDescent="0.25">
      <c r="A271" s="360" t="s">
        <v>408</v>
      </c>
      <c r="B271" s="361"/>
      <c r="C271" s="361"/>
      <c r="D271" s="361"/>
      <c r="E271" s="363" t="s">
        <v>384</v>
      </c>
      <c r="F271" s="361"/>
      <c r="G271" s="362"/>
      <c r="H271" s="362"/>
    </row>
    <row r="272" spans="1:8" x14ac:dyDescent="0.25">
      <c r="A272" s="1" t="s">
        <v>409</v>
      </c>
      <c r="B272" s="4"/>
      <c r="C272" s="4"/>
      <c r="D272" s="4"/>
      <c r="E272" s="4"/>
      <c r="F272" s="4"/>
    </row>
    <row r="273" spans="1:8" x14ac:dyDescent="0.25">
      <c r="A273" s="1" t="s">
        <v>410</v>
      </c>
      <c r="B273" s="4"/>
      <c r="C273" s="4"/>
      <c r="D273" s="4"/>
      <c r="E273" s="4"/>
      <c r="F273" s="4"/>
    </row>
    <row r="274" spans="1:8" x14ac:dyDescent="0.25">
      <c r="A274" s="1" t="s">
        <v>411</v>
      </c>
      <c r="B274" s="4"/>
      <c r="C274" s="4"/>
      <c r="D274" s="4"/>
      <c r="E274" s="4"/>
      <c r="F274" s="4"/>
    </row>
    <row r="275" spans="1:8" x14ac:dyDescent="0.25">
      <c r="B275" s="4"/>
      <c r="C275" s="4"/>
      <c r="D275" s="4"/>
      <c r="E275" s="4"/>
      <c r="F275" s="4"/>
    </row>
    <row r="276" spans="1:8" x14ac:dyDescent="0.25">
      <c r="A276" s="1" t="s">
        <v>412</v>
      </c>
      <c r="B276" s="4"/>
      <c r="C276" s="4"/>
      <c r="D276" s="4"/>
      <c r="E276" s="4"/>
      <c r="F276" s="4"/>
    </row>
    <row r="277" spans="1:8" x14ac:dyDescent="0.25">
      <c r="B277" s="4"/>
      <c r="C277" s="4"/>
      <c r="D277" s="4"/>
      <c r="E277" s="4"/>
      <c r="F277" s="4"/>
    </row>
    <row r="278" spans="1:8" x14ac:dyDescent="0.25">
      <c r="B278" s="4"/>
      <c r="C278" s="4"/>
      <c r="D278" s="4"/>
      <c r="E278" s="4" t="s">
        <v>413</v>
      </c>
      <c r="F278" s="4"/>
    </row>
    <row r="279" spans="1:8" x14ac:dyDescent="0.25">
      <c r="B279" s="4"/>
      <c r="C279" s="4"/>
      <c r="D279" s="4"/>
      <c r="E279" s="426">
        <f>RATE(E280,E282,E281,E283)</f>
        <v>3.984135910824961E-2</v>
      </c>
      <c r="F279" s="4" t="s">
        <v>87</v>
      </c>
    </row>
    <row r="280" spans="1:8" x14ac:dyDescent="0.25">
      <c r="B280" s="4"/>
      <c r="C280" s="4"/>
      <c r="D280" s="4"/>
      <c r="E280" s="4">
        <v>15</v>
      </c>
      <c r="F280" s="4" t="s">
        <v>89</v>
      </c>
    </row>
    <row r="281" spans="1:8" x14ac:dyDescent="0.25">
      <c r="B281" s="4"/>
      <c r="C281" s="4"/>
      <c r="D281" s="4"/>
      <c r="E281" s="4">
        <v>0</v>
      </c>
      <c r="F281" s="4" t="s">
        <v>281</v>
      </c>
    </row>
    <row r="282" spans="1:8" x14ac:dyDescent="0.25">
      <c r="B282" s="4"/>
      <c r="C282" s="4"/>
      <c r="D282" s="4"/>
      <c r="E282" s="4">
        <v>-25000</v>
      </c>
      <c r="F282" s="4" t="s">
        <v>91</v>
      </c>
    </row>
    <row r="283" spans="1:8" x14ac:dyDescent="0.25">
      <c r="B283" s="4"/>
      <c r="C283" s="4"/>
      <c r="D283" s="4"/>
      <c r="E283" s="378">
        <v>500000</v>
      </c>
      <c r="F283" s="4" t="s">
        <v>105</v>
      </c>
    </row>
    <row r="284" spans="1:8" x14ac:dyDescent="0.25">
      <c r="B284" s="4"/>
      <c r="C284" s="4"/>
      <c r="D284" s="4"/>
      <c r="E284" s="4"/>
      <c r="F284" s="4"/>
    </row>
    <row r="285" spans="1:8" x14ac:dyDescent="0.25">
      <c r="A285" s="1" t="s">
        <v>414</v>
      </c>
      <c r="B285" s="4"/>
      <c r="C285" s="4"/>
      <c r="D285" s="4" t="s">
        <v>415</v>
      </c>
      <c r="E285" s="4"/>
      <c r="F285" s="4"/>
    </row>
    <row r="286" spans="1:8" x14ac:dyDescent="0.25">
      <c r="B286" s="4"/>
      <c r="C286" s="4"/>
      <c r="D286" s="4"/>
      <c r="E286" s="4"/>
      <c r="F286" s="4"/>
    </row>
    <row r="287" spans="1:8" ht="22" thickBot="1" x14ac:dyDescent="0.3">
      <c r="B287" s="4"/>
      <c r="C287" s="4"/>
      <c r="D287" s="4"/>
      <c r="E287" s="4"/>
      <c r="F287" s="4"/>
    </row>
    <row r="288" spans="1:8" x14ac:dyDescent="0.25">
      <c r="A288" s="398" t="s">
        <v>416</v>
      </c>
      <c r="B288" s="427"/>
      <c r="C288" s="427"/>
      <c r="D288" s="427"/>
      <c r="E288" s="427"/>
      <c r="F288" s="427"/>
      <c r="G288" s="428"/>
      <c r="H288" s="429"/>
    </row>
    <row r="289" spans="1:8" x14ac:dyDescent="0.25">
      <c r="A289" s="399" t="s">
        <v>417</v>
      </c>
      <c r="B289" s="430"/>
      <c r="C289" s="430"/>
      <c r="D289" s="430"/>
      <c r="E289" s="430"/>
      <c r="F289" s="430"/>
      <c r="G289" s="369"/>
      <c r="H289" s="431"/>
    </row>
    <row r="290" spans="1:8" x14ac:dyDescent="0.25">
      <c r="A290" s="399" t="s">
        <v>418</v>
      </c>
      <c r="B290" s="430"/>
      <c r="C290" s="430"/>
      <c r="D290" s="430"/>
      <c r="E290" s="430"/>
      <c r="F290" s="430"/>
      <c r="G290" s="369"/>
      <c r="H290" s="431"/>
    </row>
    <row r="291" spans="1:8" x14ac:dyDescent="0.25">
      <c r="A291" s="399" t="s">
        <v>419</v>
      </c>
      <c r="B291" s="430"/>
      <c r="C291" s="430"/>
      <c r="D291" s="430"/>
      <c r="E291" s="430"/>
      <c r="F291" s="430"/>
      <c r="G291" s="369"/>
      <c r="H291" s="431"/>
    </row>
    <row r="292" spans="1:8" ht="22" thickBot="1" x14ac:dyDescent="0.3">
      <c r="A292" s="400" t="s">
        <v>420</v>
      </c>
      <c r="B292" s="432"/>
      <c r="C292" s="432"/>
      <c r="D292" s="432"/>
      <c r="E292" s="432"/>
      <c r="F292" s="432"/>
      <c r="G292" s="433"/>
      <c r="H292" s="434"/>
    </row>
    <row r="293" spans="1:8" x14ac:dyDescent="0.25">
      <c r="B293" s="4"/>
      <c r="C293" s="4"/>
      <c r="D293" s="4"/>
      <c r="E293" s="4"/>
      <c r="F293" s="4"/>
    </row>
    <row r="294" spans="1:8" x14ac:dyDescent="0.25">
      <c r="B294" s="4"/>
      <c r="C294" s="4"/>
      <c r="D294" s="4"/>
      <c r="E294" s="4"/>
      <c r="F294" s="4"/>
    </row>
    <row r="295" spans="1:8" x14ac:dyDescent="0.25">
      <c r="B295" s="4"/>
      <c r="C295" s="4"/>
      <c r="D295" s="4"/>
      <c r="E295" s="4"/>
      <c r="F295" s="4"/>
    </row>
    <row r="296" spans="1:8" x14ac:dyDescent="0.25">
      <c r="B296" s="4"/>
      <c r="C296" s="4"/>
      <c r="D296" s="4"/>
      <c r="E296" s="4"/>
      <c r="F296" s="4"/>
    </row>
    <row r="297" spans="1:8" x14ac:dyDescent="0.25">
      <c r="B297" s="4"/>
      <c r="C297" s="4"/>
      <c r="D297" s="4"/>
      <c r="E297" s="4"/>
      <c r="F297" s="4"/>
    </row>
    <row r="298" spans="1:8" x14ac:dyDescent="0.25">
      <c r="B298" s="4"/>
      <c r="C298" s="4"/>
      <c r="D298" s="4"/>
      <c r="E298" s="4"/>
      <c r="F298" s="4"/>
    </row>
    <row r="299" spans="1:8" x14ac:dyDescent="0.25">
      <c r="B299" s="4"/>
      <c r="C299" s="4"/>
      <c r="D299" s="4"/>
      <c r="E299" s="4"/>
      <c r="F299" s="4"/>
    </row>
    <row r="300" spans="1:8" x14ac:dyDescent="0.25">
      <c r="A300" s="727" t="s">
        <v>421</v>
      </c>
      <c r="B300" s="727"/>
      <c r="C300" s="727"/>
      <c r="D300" s="727"/>
      <c r="E300" s="727"/>
      <c r="F300" s="727"/>
      <c r="G300" s="727"/>
      <c r="H300" s="727"/>
    </row>
    <row r="302" spans="1:8" x14ac:dyDescent="0.25">
      <c r="A302" s="2" t="s">
        <v>422</v>
      </c>
      <c r="B302" s="2"/>
      <c r="C302" s="2"/>
      <c r="D302" s="2"/>
      <c r="E302" s="2"/>
      <c r="F302" s="2"/>
      <c r="G302" s="2"/>
      <c r="H302" s="2"/>
    </row>
    <row r="303" spans="1:8" x14ac:dyDescent="0.25">
      <c r="A303" s="1" t="s">
        <v>423</v>
      </c>
    </row>
    <row r="304" spans="1:8" x14ac:dyDescent="0.25">
      <c r="A304" s="1" t="s">
        <v>424</v>
      </c>
    </row>
    <row r="305" spans="1:8" x14ac:dyDescent="0.25">
      <c r="A305" s="1" t="s">
        <v>425</v>
      </c>
    </row>
    <row r="306" spans="1:8" x14ac:dyDescent="0.25">
      <c r="A306" s="1" t="s">
        <v>426</v>
      </c>
    </row>
    <row r="307" spans="1:8" x14ac:dyDescent="0.25">
      <c r="A307" s="1" t="s">
        <v>427</v>
      </c>
    </row>
    <row r="312" spans="1:8" x14ac:dyDescent="0.25">
      <c r="A312" s="2" t="s">
        <v>428</v>
      </c>
      <c r="B312" s="2"/>
      <c r="C312" s="2"/>
      <c r="D312" s="2"/>
      <c r="E312" s="2"/>
      <c r="F312" s="2"/>
      <c r="G312" s="2"/>
      <c r="H312" s="2"/>
    </row>
    <row r="314" spans="1:8" x14ac:dyDescent="0.25">
      <c r="A314" s="3" t="s">
        <v>429</v>
      </c>
    </row>
    <row r="315" spans="1:8" x14ac:dyDescent="0.25">
      <c r="A315" s="1">
        <v>1000</v>
      </c>
      <c r="B315" s="4" t="s">
        <v>34</v>
      </c>
      <c r="C315" s="1" t="s">
        <v>430</v>
      </c>
    </row>
    <row r="316" spans="1:8" x14ac:dyDescent="0.25">
      <c r="A316" s="5">
        <v>0.15</v>
      </c>
      <c r="B316" s="4" t="s">
        <v>67</v>
      </c>
      <c r="C316" s="1" t="s">
        <v>431</v>
      </c>
    </row>
    <row r="317" spans="1:8" x14ac:dyDescent="0.25">
      <c r="A317" s="1">
        <v>3</v>
      </c>
      <c r="B317" s="4" t="s">
        <v>69</v>
      </c>
      <c r="C317" s="1" t="s">
        <v>432</v>
      </c>
    </row>
    <row r="319" spans="1:8" x14ac:dyDescent="0.25">
      <c r="A319" s="3" t="s">
        <v>433</v>
      </c>
      <c r="B319" s="6">
        <f>1000*(1+15%)^3</f>
        <v>1520.8749999999995</v>
      </c>
      <c r="C319" s="7"/>
      <c r="E319" s="1" t="str">
        <f ca="1">_xlfn.FORMULATEXT(B319)</f>
        <v>=1000*(1+15%)^3</v>
      </c>
      <c r="F319" s="1" t="s">
        <v>434</v>
      </c>
    </row>
    <row r="320" spans="1:8" x14ac:dyDescent="0.25">
      <c r="A320" s="3" t="s">
        <v>435</v>
      </c>
      <c r="B320" s="8">
        <f>FV(A316,A317,0,-A315)</f>
        <v>1520.8749999999995</v>
      </c>
      <c r="C320" s="7"/>
      <c r="E320" s="1" t="str">
        <f ca="1">_xlfn.FORMULATEXT(B320)</f>
        <v>=FV(A316,A317,0,-A315)</v>
      </c>
      <c r="F320" s="1" t="s">
        <v>436</v>
      </c>
    </row>
    <row r="321" spans="1:9" x14ac:dyDescent="0.25">
      <c r="B321" s="9"/>
    </row>
    <row r="322" spans="1:9" x14ac:dyDescent="0.25">
      <c r="B322" s="9"/>
      <c r="E322" s="4"/>
      <c r="F322" s="4"/>
      <c r="G322" s="4"/>
      <c r="H322" s="4"/>
      <c r="I322" s="7"/>
    </row>
    <row r="325" spans="1:9" x14ac:dyDescent="0.25">
      <c r="A325" s="2" t="s">
        <v>437</v>
      </c>
      <c r="B325" s="2"/>
      <c r="C325" s="2"/>
      <c r="D325" s="2"/>
      <c r="E325" s="2"/>
      <c r="F325" s="2"/>
      <c r="G325" s="2"/>
      <c r="H325" s="2"/>
    </row>
    <row r="326" spans="1:9" x14ac:dyDescent="0.25">
      <c r="A326" s="1" t="s">
        <v>438</v>
      </c>
    </row>
    <row r="327" spans="1:9" x14ac:dyDescent="0.25">
      <c r="A327" s="1" t="s">
        <v>439</v>
      </c>
    </row>
    <row r="328" spans="1:9" x14ac:dyDescent="0.25">
      <c r="A328" s="1" t="s">
        <v>440</v>
      </c>
    </row>
    <row r="329" spans="1:9" x14ac:dyDescent="0.25">
      <c r="A329" s="1" t="s">
        <v>441</v>
      </c>
    </row>
    <row r="330" spans="1:9" x14ac:dyDescent="0.25">
      <c r="A330" s="1" t="s">
        <v>442</v>
      </c>
    </row>
    <row r="331" spans="1:9" x14ac:dyDescent="0.25">
      <c r="A331" s="1" t="s">
        <v>443</v>
      </c>
    </row>
    <row r="333" spans="1:9" x14ac:dyDescent="0.25">
      <c r="A333" s="1" t="s">
        <v>444</v>
      </c>
    </row>
    <row r="334" spans="1:9" x14ac:dyDescent="0.25">
      <c r="A334" s="1" t="s">
        <v>445</v>
      </c>
    </row>
    <row r="338" spans="1:8" x14ac:dyDescent="0.25">
      <c r="A338" s="2" t="s">
        <v>446</v>
      </c>
      <c r="B338" s="2"/>
      <c r="C338" s="2"/>
      <c r="D338" s="2"/>
      <c r="E338" s="2"/>
      <c r="F338" s="2"/>
      <c r="G338" s="2"/>
      <c r="H338" s="2"/>
    </row>
    <row r="339" spans="1:8" x14ac:dyDescent="0.25">
      <c r="B339" s="10"/>
      <c r="C339" s="10"/>
    </row>
    <row r="340" spans="1:8" x14ac:dyDescent="0.25">
      <c r="A340" s="3" t="s">
        <v>429</v>
      </c>
      <c r="B340" s="11"/>
    </row>
    <row r="341" spans="1:8" x14ac:dyDescent="0.25">
      <c r="A341" s="12">
        <v>200000</v>
      </c>
      <c r="B341" s="7" t="s">
        <v>34</v>
      </c>
      <c r="C341" s="10"/>
    </row>
    <row r="342" spans="1:8" x14ac:dyDescent="0.25">
      <c r="B342" s="13" t="s">
        <v>447</v>
      </c>
      <c r="C342" s="13" t="s">
        <v>448</v>
      </c>
    </row>
    <row r="343" spans="1:8" x14ac:dyDescent="0.25">
      <c r="A343" s="1" t="s">
        <v>449</v>
      </c>
      <c r="B343" s="14">
        <v>0.01</v>
      </c>
      <c r="C343" s="4">
        <v>8</v>
      </c>
    </row>
    <row r="344" spans="1:8" x14ac:dyDescent="0.25">
      <c r="A344" s="1" t="s">
        <v>450</v>
      </c>
      <c r="B344" s="15">
        <v>1.4999999999999999E-2</v>
      </c>
      <c r="C344" s="4">
        <v>4</v>
      </c>
    </row>
    <row r="345" spans="1:8" x14ac:dyDescent="0.25">
      <c r="A345" s="1" t="s">
        <v>451</v>
      </c>
      <c r="B345" s="14">
        <v>0.02</v>
      </c>
      <c r="C345" s="4">
        <v>4</v>
      </c>
    </row>
    <row r="347" spans="1:8" x14ac:dyDescent="0.25">
      <c r="A347" s="1" t="s">
        <v>452</v>
      </c>
      <c r="H347" s="1" t="s">
        <v>453</v>
      </c>
    </row>
    <row r="349" spans="1:8" x14ac:dyDescent="0.25">
      <c r="A349" s="3" t="s">
        <v>454</v>
      </c>
      <c r="B349" s="16"/>
      <c r="C349" s="17">
        <f>200000*(1+1%)^8*(1+1.5%)^4*(1+2%)^4</f>
        <v>248808.86034078262</v>
      </c>
      <c r="D349" s="7" t="s">
        <v>455</v>
      </c>
      <c r="H349" s="1" t="str">
        <f ca="1">_xlfn.FORMULATEXT(C349)</f>
        <v>=200000*(1+1%)^8*(1+1.5%)^4*(1+2%)^4</v>
      </c>
    </row>
    <row r="351" spans="1:8" x14ac:dyDescent="0.25">
      <c r="A351" s="3" t="s">
        <v>456</v>
      </c>
      <c r="C351" s="1" t="s">
        <v>457</v>
      </c>
      <c r="E351" s="32">
        <f>FV(B343,C343,0,A341)</f>
        <v>-216571.34112561605</v>
      </c>
      <c r="F351" s="18"/>
      <c r="H351" s="1" t="str">
        <f ca="1">_xlfn.FORMULATEXT(E351)</f>
        <v>=FV(B343,C343,0,A341)</v>
      </c>
    </row>
    <row r="352" spans="1:8" x14ac:dyDescent="0.25">
      <c r="C352" s="1" t="s">
        <v>458</v>
      </c>
      <c r="E352" s="32">
        <f>FV(B344,C344,0,-E351)</f>
        <v>-229860.9275807018</v>
      </c>
      <c r="H352" s="1" t="str">
        <f ca="1">_xlfn.FORMULATEXT(E352)</f>
        <v>=FV(B344,C344,0,-E351)</v>
      </c>
    </row>
    <row r="353" spans="1:8" x14ac:dyDescent="0.25">
      <c r="C353" s="1" t="s">
        <v>459</v>
      </c>
      <c r="D353" s="19"/>
      <c r="E353" s="33">
        <f>FV(B345,C345,0,-E352)</f>
        <v>-248808.86034078262</v>
      </c>
      <c r="F353" s="7"/>
      <c r="H353" s="1" t="str">
        <f ca="1">_xlfn.FORMULATEXT(E353)</f>
        <v>=FV(B345,C345,0,-E352)</v>
      </c>
    </row>
    <row r="354" spans="1:8" x14ac:dyDescent="0.25">
      <c r="B354" s="7"/>
    </row>
    <row r="355" spans="1:8" x14ac:dyDescent="0.25">
      <c r="A355" s="1" t="s">
        <v>460</v>
      </c>
      <c r="B355" s="7"/>
    </row>
    <row r="356" spans="1:8" x14ac:dyDescent="0.25">
      <c r="A356" s="1" t="s">
        <v>461</v>
      </c>
      <c r="B356" s="7"/>
    </row>
    <row r="357" spans="1:8" x14ac:dyDescent="0.25">
      <c r="A357" s="1" t="s">
        <v>462</v>
      </c>
      <c r="B357" s="7"/>
    </row>
    <row r="358" spans="1:8" x14ac:dyDescent="0.25">
      <c r="A358" s="1" t="s">
        <v>463</v>
      </c>
      <c r="B358" s="7"/>
    </row>
    <row r="359" spans="1:8" x14ac:dyDescent="0.25">
      <c r="A359" s="1" t="s">
        <v>464</v>
      </c>
      <c r="B359" s="7"/>
    </row>
    <row r="360" spans="1:8" x14ac:dyDescent="0.25">
      <c r="A360" s="1" t="s">
        <v>465</v>
      </c>
      <c r="B360" s="7"/>
    </row>
    <row r="361" spans="1:8" x14ac:dyDescent="0.25">
      <c r="B361" s="7"/>
    </row>
    <row r="362" spans="1:8" x14ac:dyDescent="0.25">
      <c r="A362" s="2" t="s">
        <v>466</v>
      </c>
      <c r="B362" s="2"/>
      <c r="C362" s="2"/>
      <c r="D362" s="2"/>
      <c r="E362" s="2"/>
      <c r="F362" s="2"/>
      <c r="G362" s="2"/>
      <c r="H362" s="2"/>
    </row>
    <row r="363" spans="1:8" x14ac:dyDescent="0.25">
      <c r="A363" s="1" t="s">
        <v>467</v>
      </c>
      <c r="B363" s="7"/>
    </row>
    <row r="364" spans="1:8" x14ac:dyDescent="0.25">
      <c r="A364" s="1" t="s">
        <v>468</v>
      </c>
      <c r="B364" s="7"/>
    </row>
    <row r="365" spans="1:8" x14ac:dyDescent="0.25">
      <c r="A365" s="1" t="s">
        <v>469</v>
      </c>
      <c r="B365" s="7"/>
    </row>
    <row r="366" spans="1:8" x14ac:dyDescent="0.25">
      <c r="B366" s="7"/>
    </row>
    <row r="367" spans="1:8" x14ac:dyDescent="0.25">
      <c r="A367" s="19"/>
      <c r="B367" s="20"/>
    </row>
    <row r="368" spans="1:8" x14ac:dyDescent="0.25">
      <c r="A368" s="2" t="s">
        <v>470</v>
      </c>
      <c r="B368" s="2"/>
      <c r="C368" s="2"/>
      <c r="D368" s="2"/>
      <c r="E368" s="2"/>
      <c r="F368" s="2"/>
      <c r="G368" s="2"/>
      <c r="H368" s="2"/>
    </row>
    <row r="370" spans="1:6" x14ac:dyDescent="0.25">
      <c r="A370" s="1" t="s">
        <v>471</v>
      </c>
    </row>
    <row r="372" spans="1:6" x14ac:dyDescent="0.25">
      <c r="B372" s="1" t="s">
        <v>472</v>
      </c>
      <c r="E372" s="4" t="s">
        <v>87</v>
      </c>
    </row>
    <row r="373" spans="1:6" x14ac:dyDescent="0.25">
      <c r="B373" s="1" t="s">
        <v>473</v>
      </c>
      <c r="E373" s="4" t="s">
        <v>89</v>
      </c>
    </row>
    <row r="375" spans="1:6" x14ac:dyDescent="0.25">
      <c r="A375" s="3" t="s">
        <v>429</v>
      </c>
      <c r="B375" s="7"/>
    </row>
    <row r="376" spans="1:6" x14ac:dyDescent="0.25">
      <c r="A376" s="12">
        <v>20000</v>
      </c>
      <c r="B376" s="4" t="s">
        <v>34</v>
      </c>
      <c r="C376" s="1" t="s">
        <v>474</v>
      </c>
    </row>
    <row r="377" spans="1:6" x14ac:dyDescent="0.25">
      <c r="A377" s="1">
        <v>3</v>
      </c>
      <c r="B377" s="4" t="s">
        <v>69</v>
      </c>
      <c r="C377" s="1" t="s">
        <v>432</v>
      </c>
    </row>
    <row r="378" spans="1:6" x14ac:dyDescent="0.25">
      <c r="A378" s="12">
        <v>24500</v>
      </c>
      <c r="B378" s="4" t="s">
        <v>30</v>
      </c>
      <c r="C378" s="1" t="s">
        <v>117</v>
      </c>
    </row>
    <row r="379" spans="1:6" x14ac:dyDescent="0.25">
      <c r="B379" s="7"/>
    </row>
    <row r="380" spans="1:6" x14ac:dyDescent="0.25">
      <c r="A380" s="19"/>
      <c r="B380" s="364">
        <f>RATE(A377,0,-A376,A378)</f>
        <v>6.9987480565494378E-2</v>
      </c>
      <c r="C380" s="7" t="s">
        <v>475</v>
      </c>
      <c r="F380" s="1" t="str">
        <f ca="1">_xlfn.FORMULATEXT(B380)</f>
        <v>=RATE(A377,0,-A376,A378)</v>
      </c>
    </row>
    <row r="381" spans="1:6" x14ac:dyDescent="0.25">
      <c r="B381" s="7"/>
    </row>
    <row r="382" spans="1:6" x14ac:dyDescent="0.25">
      <c r="B382" s="7"/>
    </row>
    <row r="383" spans="1:6" x14ac:dyDescent="0.25">
      <c r="A383" s="19"/>
      <c r="B383" s="20"/>
    </row>
    <row r="385" spans="1:8" x14ac:dyDescent="0.25">
      <c r="A385" s="2" t="s">
        <v>476</v>
      </c>
      <c r="B385" s="2"/>
      <c r="C385" s="2"/>
      <c r="D385" s="2"/>
      <c r="E385" s="2"/>
      <c r="F385" s="2"/>
      <c r="G385" s="2"/>
      <c r="H385" s="2"/>
    </row>
    <row r="386" spans="1:8" x14ac:dyDescent="0.25">
      <c r="A386" s="1" t="s">
        <v>477</v>
      </c>
    </row>
    <row r="387" spans="1:8" x14ac:dyDescent="0.25">
      <c r="A387" s="21" t="s">
        <v>478</v>
      </c>
      <c r="B387" s="7"/>
    </row>
    <row r="388" spans="1:8" x14ac:dyDescent="0.25">
      <c r="A388" s="21" t="s">
        <v>479</v>
      </c>
      <c r="B388" s="7"/>
    </row>
    <row r="389" spans="1:8" x14ac:dyDescent="0.25">
      <c r="A389" s="22" t="s">
        <v>480</v>
      </c>
      <c r="B389" s="7"/>
    </row>
    <row r="390" spans="1:8" x14ac:dyDescent="0.25">
      <c r="A390" s="21"/>
      <c r="B390" s="7"/>
    </row>
    <row r="391" spans="1:8" x14ac:dyDescent="0.25">
      <c r="A391" s="2" t="s">
        <v>481</v>
      </c>
      <c r="B391" s="2"/>
      <c r="C391" s="2"/>
      <c r="D391" s="2"/>
      <c r="E391" s="2"/>
      <c r="F391" s="2"/>
      <c r="G391" s="2"/>
      <c r="H391" s="2"/>
    </row>
    <row r="392" spans="1:8" x14ac:dyDescent="0.25">
      <c r="A392" s="21"/>
      <c r="B392" s="7"/>
    </row>
    <row r="393" spans="1:8" x14ac:dyDescent="0.25">
      <c r="A393" s="23" t="s">
        <v>429</v>
      </c>
      <c r="B393" s="7"/>
    </row>
    <row r="394" spans="1:8" x14ac:dyDescent="0.25">
      <c r="A394" s="24">
        <v>50000</v>
      </c>
      <c r="B394" s="4" t="s">
        <v>34</v>
      </c>
      <c r="C394" s="1" t="s">
        <v>474</v>
      </c>
    </row>
    <row r="395" spans="1:8" x14ac:dyDescent="0.25">
      <c r="A395" s="22">
        <v>3.3500000000000002E-2</v>
      </c>
      <c r="B395" s="4" t="s">
        <v>67</v>
      </c>
      <c r="C395" s="1" t="s">
        <v>482</v>
      </c>
    </row>
    <row r="396" spans="1:8" x14ac:dyDescent="0.25">
      <c r="A396" s="24">
        <v>200000</v>
      </c>
      <c r="B396" s="4" t="s">
        <v>30</v>
      </c>
      <c r="C396" s="1" t="s">
        <v>117</v>
      </c>
    </row>
    <row r="397" spans="1:8" x14ac:dyDescent="0.25">
      <c r="A397" s="21"/>
      <c r="B397" s="7"/>
    </row>
    <row r="398" spans="1:8" x14ac:dyDescent="0.25">
      <c r="A398" s="23" t="s">
        <v>483</v>
      </c>
      <c r="B398" s="365">
        <f>NPER(A395,0,-A394,A396)</f>
        <v>42.071261816544059</v>
      </c>
      <c r="C398" s="7" t="s">
        <v>484</v>
      </c>
      <c r="F398" s="1" t="str">
        <f ca="1">_xlfn.FORMULATEXT(B398)</f>
        <v>=NPER(A395,0,-A394,A396)</v>
      </c>
    </row>
    <row r="399" spans="1:8" x14ac:dyDescent="0.25">
      <c r="A399" s="23" t="s">
        <v>485</v>
      </c>
      <c r="B399" s="366">
        <f>B398/12</f>
        <v>3.5059384847120048</v>
      </c>
      <c r="C399" s="7" t="s">
        <v>484</v>
      </c>
      <c r="F399" s="1" t="str">
        <f ca="1">_xlfn.FORMULATEXT(B399)</f>
        <v>=B398/12</v>
      </c>
    </row>
    <row r="400" spans="1:8" x14ac:dyDescent="0.25">
      <c r="A400" s="21"/>
      <c r="B400" s="7"/>
    </row>
    <row r="401" spans="1:8" x14ac:dyDescent="0.25">
      <c r="A401" s="21" t="s">
        <v>486</v>
      </c>
      <c r="B401" s="7"/>
    </row>
    <row r="402" spans="1:8" x14ac:dyDescent="0.25">
      <c r="A402" s="7" t="s">
        <v>487</v>
      </c>
      <c r="B402" s="7"/>
      <c r="C402" s="7"/>
      <c r="D402" s="7"/>
      <c r="E402" s="7"/>
      <c r="F402" s="7"/>
      <c r="G402" s="7"/>
      <c r="H402" s="7"/>
    </row>
    <row r="403" spans="1:8" x14ac:dyDescent="0.25">
      <c r="A403" s="7" t="s">
        <v>488</v>
      </c>
      <c r="B403" s="34"/>
      <c r="C403" s="7"/>
      <c r="D403" s="7"/>
      <c r="E403" s="7"/>
      <c r="F403" s="7"/>
      <c r="G403" s="7"/>
      <c r="H403" s="7"/>
    </row>
    <row r="404" spans="1:8" x14ac:dyDescent="0.25">
      <c r="A404" s="7" t="s">
        <v>489</v>
      </c>
      <c r="B404" s="7"/>
      <c r="C404" s="7"/>
      <c r="D404" s="7"/>
      <c r="E404" s="7"/>
      <c r="F404" s="7"/>
      <c r="G404" s="7"/>
      <c r="H404" s="7"/>
    </row>
    <row r="405" spans="1:8" x14ac:dyDescent="0.25">
      <c r="A405" s="7" t="s">
        <v>490</v>
      </c>
      <c r="B405" s="7"/>
      <c r="C405" s="7"/>
      <c r="D405" s="7"/>
      <c r="E405" s="7"/>
      <c r="F405" s="7"/>
      <c r="G405" s="7"/>
      <c r="H405" s="7"/>
    </row>
    <row r="407" spans="1:8" x14ac:dyDescent="0.25">
      <c r="A407" s="35" t="s">
        <v>491</v>
      </c>
      <c r="B407" s="2"/>
      <c r="C407" s="2"/>
      <c r="D407" s="2"/>
      <c r="E407" s="2"/>
      <c r="F407" s="2"/>
      <c r="G407" s="2"/>
      <c r="H407" s="36"/>
    </row>
    <row r="408" spans="1:8" x14ac:dyDescent="0.25">
      <c r="A408" s="21" t="s">
        <v>492</v>
      </c>
      <c r="H408" s="37"/>
    </row>
    <row r="409" spans="1:8" x14ac:dyDescent="0.25">
      <c r="A409" s="21" t="s">
        <v>493</v>
      </c>
      <c r="H409" s="37"/>
    </row>
    <row r="410" spans="1:8" x14ac:dyDescent="0.25">
      <c r="A410" s="21"/>
      <c r="H410" s="37"/>
    </row>
    <row r="411" spans="1:8" x14ac:dyDescent="0.25">
      <c r="A411" s="35" t="s">
        <v>494</v>
      </c>
      <c r="B411" s="2"/>
      <c r="C411" s="2"/>
      <c r="D411" s="2"/>
      <c r="E411" s="2"/>
      <c r="F411" s="2"/>
      <c r="G411" s="2"/>
      <c r="H411" s="36"/>
    </row>
    <row r="412" spans="1:8" x14ac:dyDescent="0.25">
      <c r="A412" s="21"/>
      <c r="H412" s="37"/>
    </row>
    <row r="413" spans="1:8" x14ac:dyDescent="0.25">
      <c r="A413" s="3" t="s">
        <v>429</v>
      </c>
    </row>
    <row r="414" spans="1:8" x14ac:dyDescent="0.25">
      <c r="A414" s="12">
        <v>2000</v>
      </c>
      <c r="B414" s="4" t="s">
        <v>34</v>
      </c>
      <c r="C414" s="1" t="s">
        <v>474</v>
      </c>
    </row>
    <row r="415" spans="1:8" x14ac:dyDescent="0.25">
      <c r="A415" s="1">
        <v>15</v>
      </c>
      <c r="B415" s="4" t="s">
        <v>69</v>
      </c>
      <c r="C415" s="1" t="s">
        <v>495</v>
      </c>
    </row>
    <row r="416" spans="1:8" x14ac:dyDescent="0.25">
      <c r="A416" s="5">
        <v>0.05</v>
      </c>
      <c r="B416" s="4" t="s">
        <v>67</v>
      </c>
      <c r="C416" s="1" t="s">
        <v>431</v>
      </c>
    </row>
    <row r="417" spans="1:8" x14ac:dyDescent="0.25">
      <c r="C417" s="38">
        <f>FV(A416,A415,0,-A414)</f>
        <v>4157.8563588227362</v>
      </c>
      <c r="D417" s="7" t="s">
        <v>455</v>
      </c>
      <c r="H417" s="1" t="str">
        <f ca="1">_xlfn.FORMULATEXT(C417)</f>
        <v>=FV(A416,A415,0,-A414)</v>
      </c>
    </row>
    <row r="420" spans="1:8" x14ac:dyDescent="0.25">
      <c r="A420" s="35" t="s">
        <v>496</v>
      </c>
      <c r="B420" s="2"/>
      <c r="C420" s="2"/>
      <c r="D420" s="2"/>
      <c r="E420" s="2"/>
      <c r="F420" s="2"/>
      <c r="G420" s="2"/>
      <c r="H420" s="36"/>
    </row>
    <row r="421" spans="1:8" x14ac:dyDescent="0.25">
      <c r="A421" s="1" t="s">
        <v>497</v>
      </c>
    </row>
    <row r="422" spans="1:8" x14ac:dyDescent="0.25">
      <c r="A422" s="1" t="s">
        <v>498</v>
      </c>
    </row>
    <row r="423" spans="1:8" x14ac:dyDescent="0.25">
      <c r="A423" s="1" t="s">
        <v>499</v>
      </c>
    </row>
    <row r="425" spans="1:8" x14ac:dyDescent="0.25">
      <c r="A425" s="35" t="s">
        <v>500</v>
      </c>
      <c r="B425" s="2"/>
      <c r="C425" s="2"/>
      <c r="D425" s="2"/>
      <c r="E425" s="2"/>
      <c r="F425" s="2"/>
      <c r="G425" s="2"/>
      <c r="H425" s="36"/>
    </row>
    <row r="427" spans="1:8" x14ac:dyDescent="0.25">
      <c r="A427" s="3" t="s">
        <v>429</v>
      </c>
    </row>
    <row r="428" spans="1:8" x14ac:dyDescent="0.25">
      <c r="A428" s="12">
        <v>45000</v>
      </c>
      <c r="B428" s="4" t="s">
        <v>34</v>
      </c>
      <c r="C428" s="1" t="s">
        <v>474</v>
      </c>
    </row>
    <row r="429" spans="1:8" x14ac:dyDescent="0.25">
      <c r="A429" s="12">
        <v>66105</v>
      </c>
      <c r="B429" s="4" t="s">
        <v>30</v>
      </c>
      <c r="C429" s="1" t="s">
        <v>117</v>
      </c>
    </row>
    <row r="430" spans="1:8" x14ac:dyDescent="0.25">
      <c r="A430" s="1">
        <v>5</v>
      </c>
      <c r="B430" s="4" t="s">
        <v>69</v>
      </c>
      <c r="C430" s="1" t="s">
        <v>495</v>
      </c>
    </row>
    <row r="431" spans="1:8" x14ac:dyDescent="0.25">
      <c r="C431" s="42">
        <f>RATE(A430,0,A428,-A429)</f>
        <v>7.9951766443501465E-2</v>
      </c>
      <c r="D431" s="7" t="s">
        <v>475</v>
      </c>
      <c r="H431" s="1" t="str">
        <f ca="1">_xlfn.FORMULATEXT(C431)</f>
        <v>=RATE(A430,0,A428,-A429)</v>
      </c>
    </row>
    <row r="434" spans="1:8" x14ac:dyDescent="0.25">
      <c r="A434" s="2" t="s">
        <v>501</v>
      </c>
      <c r="B434" s="2"/>
      <c r="C434" s="2"/>
      <c r="D434" s="2"/>
      <c r="E434" s="2"/>
      <c r="F434" s="2"/>
      <c r="G434" s="2"/>
      <c r="H434" s="2"/>
    </row>
    <row r="435" spans="1:8" x14ac:dyDescent="0.25">
      <c r="A435" s="1" t="s">
        <v>502</v>
      </c>
    </row>
    <row r="436" spans="1:8" x14ac:dyDescent="0.25">
      <c r="A436" s="1" t="s">
        <v>503</v>
      </c>
    </row>
    <row r="437" spans="1:8" x14ac:dyDescent="0.25">
      <c r="A437" s="1" t="s">
        <v>504</v>
      </c>
    </row>
    <row r="438" spans="1:8" x14ac:dyDescent="0.25">
      <c r="A438" s="1" t="s">
        <v>505</v>
      </c>
    </row>
    <row r="439" spans="1:8" x14ac:dyDescent="0.25">
      <c r="A439" s="1" t="s">
        <v>506</v>
      </c>
    </row>
    <row r="441" spans="1:8" x14ac:dyDescent="0.25">
      <c r="A441" s="367" t="s">
        <v>507</v>
      </c>
      <c r="B441" s="367"/>
      <c r="C441" s="367"/>
      <c r="D441" s="367"/>
      <c r="E441" s="367"/>
      <c r="F441" s="367"/>
      <c r="G441" s="367"/>
      <c r="H441" s="367"/>
    </row>
    <row r="443" spans="1:8" x14ac:dyDescent="0.25">
      <c r="A443" s="1" t="s">
        <v>508</v>
      </c>
    </row>
    <row r="444" spans="1:8" x14ac:dyDescent="0.25">
      <c r="A444" s="1" t="s">
        <v>509</v>
      </c>
    </row>
    <row r="445" spans="1:8" x14ac:dyDescent="0.25">
      <c r="A445" s="1" t="s">
        <v>510</v>
      </c>
    </row>
    <row r="446" spans="1:8" x14ac:dyDescent="0.25">
      <c r="A446" s="1" t="s">
        <v>511</v>
      </c>
    </row>
    <row r="447" spans="1:8" x14ac:dyDescent="0.25">
      <c r="A447" s="1" t="s">
        <v>512</v>
      </c>
    </row>
    <row r="449" spans="1:10" x14ac:dyDescent="0.25">
      <c r="A449" s="3" t="s">
        <v>429</v>
      </c>
    </row>
    <row r="450" spans="1:10" x14ac:dyDescent="0.25">
      <c r="A450" s="1" t="s">
        <v>513</v>
      </c>
      <c r="B450" s="12">
        <v>10000</v>
      </c>
      <c r="C450" s="7"/>
      <c r="D450" s="39" t="s">
        <v>514</v>
      </c>
    </row>
    <row r="451" spans="1:10" x14ac:dyDescent="0.25">
      <c r="A451" s="1" t="s">
        <v>515</v>
      </c>
      <c r="B451" s="12">
        <v>2000</v>
      </c>
      <c r="C451" s="7"/>
      <c r="D451" s="26">
        <v>12</v>
      </c>
      <c r="E451" s="26" t="s">
        <v>69</v>
      </c>
    </row>
    <row r="452" spans="1:10" x14ac:dyDescent="0.25">
      <c r="A452" s="1" t="s">
        <v>516</v>
      </c>
      <c r="B452" s="40">
        <v>5.0000000000000001E-3</v>
      </c>
      <c r="C452" s="728">
        <f>FV(B452,D451,0,-B450)</f>
        <v>10616.778118644976</v>
      </c>
      <c r="D452" s="728"/>
      <c r="E452" s="1" t="s">
        <v>30</v>
      </c>
      <c r="J452" s="1" t="str">
        <f ca="1">_xlfn.FORMULATEXT(C452)</f>
        <v>=FV(B452,D451,0,-B450)</v>
      </c>
    </row>
    <row r="453" spans="1:10" x14ac:dyDescent="0.25">
      <c r="A453" s="1" t="s">
        <v>517</v>
      </c>
      <c r="B453" s="40">
        <v>4.0000000000000001E-3</v>
      </c>
      <c r="C453" s="7"/>
    </row>
    <row r="454" spans="1:10" x14ac:dyDescent="0.25">
      <c r="C454" s="39"/>
      <c r="D454" s="39" t="s">
        <v>518</v>
      </c>
    </row>
    <row r="455" spans="1:10" x14ac:dyDescent="0.25">
      <c r="C455" s="26"/>
      <c r="D455" s="26">
        <v>3</v>
      </c>
      <c r="E455" s="26" t="s">
        <v>69</v>
      </c>
      <c r="G455" s="1" t="s">
        <v>519</v>
      </c>
    </row>
    <row r="456" spans="1:10" x14ac:dyDescent="0.25">
      <c r="C456" s="722">
        <f>C452+B451</f>
        <v>12616.778118644976</v>
      </c>
      <c r="D456" s="722"/>
      <c r="E456" s="1" t="s">
        <v>281</v>
      </c>
      <c r="G456" s="1" t="s">
        <v>520</v>
      </c>
    </row>
    <row r="457" spans="1:10" x14ac:dyDescent="0.25">
      <c r="C457" s="728">
        <f>FV(B452,D455,0,-C456)</f>
        <v>12806.977625880809</v>
      </c>
      <c r="D457" s="728"/>
      <c r="E457" s="1" t="s">
        <v>30</v>
      </c>
      <c r="J457" s="1" t="str">
        <f ca="1">_xlfn.FORMULATEXT(C457)</f>
        <v>=FV(B452,D455,0,-C456)</v>
      </c>
    </row>
    <row r="459" spans="1:10" x14ac:dyDescent="0.25">
      <c r="C459" s="39"/>
      <c r="D459" s="39" t="s">
        <v>521</v>
      </c>
    </row>
    <row r="460" spans="1:10" x14ac:dyDescent="0.25">
      <c r="C460" s="26"/>
      <c r="D460" s="26">
        <f>12-D455</f>
        <v>9</v>
      </c>
      <c r="E460" s="26" t="s">
        <v>69</v>
      </c>
      <c r="G460" s="1" t="s">
        <v>522</v>
      </c>
    </row>
    <row r="461" spans="1:10" x14ac:dyDescent="0.25">
      <c r="C461" s="722">
        <f>C457</f>
        <v>12806.977625880809</v>
      </c>
      <c r="D461" s="722"/>
      <c r="E461" s="1" t="s">
        <v>281</v>
      </c>
      <c r="G461" s="1" t="s">
        <v>523</v>
      </c>
    </row>
    <row r="462" spans="1:10" x14ac:dyDescent="0.25">
      <c r="C462" s="723">
        <f>FV(B453,D460,0,-C461)</f>
        <v>13275.474904595436</v>
      </c>
      <c r="D462" s="724"/>
      <c r="E462" s="1" t="s">
        <v>30</v>
      </c>
      <c r="J462" s="1" t="str">
        <f ca="1">_xlfn.FORMULATEXT(C462)</f>
        <v>=FV(B453,D460,0,-C461)</v>
      </c>
    </row>
    <row r="464" spans="1:10" ht="23" x14ac:dyDescent="0.25">
      <c r="A464" s="435" t="s">
        <v>524</v>
      </c>
      <c r="B464" s="436"/>
      <c r="C464" s="436"/>
      <c r="D464" s="436"/>
      <c r="E464" s="436"/>
      <c r="F464" s="436"/>
      <c r="G464" s="436"/>
      <c r="H464" s="436"/>
    </row>
    <row r="465" spans="1:8" ht="15" customHeight="1" x14ac:dyDescent="0.25">
      <c r="A465" s="41"/>
      <c r="B465" s="41"/>
      <c r="C465" s="41"/>
      <c r="D465" s="41"/>
      <c r="E465" s="41"/>
      <c r="F465" s="41"/>
      <c r="G465" s="41"/>
      <c r="H465" s="41"/>
    </row>
    <row r="466" spans="1:8" s="43" customFormat="1" ht="15" x14ac:dyDescent="0.2">
      <c r="A466" s="45" t="s">
        <v>525</v>
      </c>
      <c r="B466" s="45"/>
      <c r="C466" s="45"/>
      <c r="D466" s="45"/>
      <c r="E466" s="45"/>
      <c r="F466" s="45"/>
      <c r="G466" s="45"/>
      <c r="H466" s="45"/>
    </row>
    <row r="467" spans="1:8" s="43" customFormat="1" ht="15" x14ac:dyDescent="0.2">
      <c r="A467" s="43" t="s">
        <v>526</v>
      </c>
    </row>
    <row r="468" spans="1:8" s="43" customFormat="1" ht="15" x14ac:dyDescent="0.2">
      <c r="A468" s="43" t="s">
        <v>527</v>
      </c>
    </row>
    <row r="469" spans="1:8" s="43" customFormat="1" ht="15" x14ac:dyDescent="0.2">
      <c r="A469" s="43" t="s">
        <v>528</v>
      </c>
    </row>
    <row r="470" spans="1:8" s="43" customFormat="1" ht="15" x14ac:dyDescent="0.2">
      <c r="A470" s="43" t="s">
        <v>529</v>
      </c>
    </row>
    <row r="471" spans="1:8" s="43" customFormat="1" ht="15" x14ac:dyDescent="0.2">
      <c r="A471" s="43" t="s">
        <v>530</v>
      </c>
    </row>
    <row r="472" spans="1:8" s="43" customFormat="1" ht="15" x14ac:dyDescent="0.2">
      <c r="A472" s="43" t="s">
        <v>531</v>
      </c>
    </row>
    <row r="473" spans="1:8" s="43" customFormat="1" ht="15" x14ac:dyDescent="0.2"/>
    <row r="474" spans="1:8" s="43" customFormat="1" ht="15" x14ac:dyDescent="0.2">
      <c r="A474" s="52" t="s">
        <v>532</v>
      </c>
      <c r="B474" s="53"/>
      <c r="C474" s="53"/>
      <c r="D474" s="53"/>
      <c r="E474" s="53"/>
      <c r="F474" s="53"/>
      <c r="G474" s="53"/>
    </row>
    <row r="475" spans="1:8" s="43" customFormat="1" ht="15" x14ac:dyDescent="0.2"/>
    <row r="476" spans="1:8" s="43" customFormat="1" ht="15" x14ac:dyDescent="0.2">
      <c r="A476" s="43" t="s">
        <v>533</v>
      </c>
    </row>
    <row r="477" spans="1:8" s="43" customFormat="1" ht="15" x14ac:dyDescent="0.2">
      <c r="A477" s="43" t="s">
        <v>534</v>
      </c>
    </row>
    <row r="478" spans="1:8" s="43" customFormat="1" ht="15" x14ac:dyDescent="0.2">
      <c r="A478" s="43" t="s">
        <v>535</v>
      </c>
    </row>
    <row r="479" spans="1:8" s="43" customFormat="1" ht="15" x14ac:dyDescent="0.2">
      <c r="A479" s="43" t="s">
        <v>536</v>
      </c>
    </row>
    <row r="480" spans="1:8" s="43" customFormat="1" ht="15" x14ac:dyDescent="0.2"/>
    <row r="481" spans="1:7" s="43" customFormat="1" ht="15" x14ac:dyDescent="0.2">
      <c r="A481" s="43" t="s">
        <v>537</v>
      </c>
    </row>
    <row r="482" spans="1:7" s="43" customFormat="1" ht="15" x14ac:dyDescent="0.2">
      <c r="C482" s="49">
        <v>3</v>
      </c>
      <c r="D482" s="49">
        <v>2</v>
      </c>
      <c r="E482" s="49">
        <v>1</v>
      </c>
      <c r="F482" s="49">
        <v>0</v>
      </c>
      <c r="G482" s="47" t="s">
        <v>538</v>
      </c>
    </row>
    <row r="483" spans="1:7" s="43" customFormat="1" ht="15" x14ac:dyDescent="0.2">
      <c r="C483" s="48">
        <v>1000</v>
      </c>
      <c r="D483" s="51">
        <v>1000</v>
      </c>
      <c r="E483" s="50">
        <v>1000</v>
      </c>
      <c r="G483" s="47" t="s">
        <v>115</v>
      </c>
    </row>
    <row r="484" spans="1:7" s="43" customFormat="1" ht="15" x14ac:dyDescent="0.2"/>
    <row r="485" spans="1:7" s="43" customFormat="1" ht="15" x14ac:dyDescent="0.2">
      <c r="C485" s="47" t="s">
        <v>119</v>
      </c>
    </row>
    <row r="486" spans="1:7" s="43" customFormat="1" ht="15" x14ac:dyDescent="0.2"/>
    <row r="487" spans="1:7" s="43" customFormat="1" ht="15" x14ac:dyDescent="0.2">
      <c r="B487" s="47">
        <f>1000*1.05^2+1000*1.05+1000*1.05^0</f>
        <v>3152.5</v>
      </c>
      <c r="F487" s="43" t="s">
        <v>539</v>
      </c>
    </row>
    <row r="488" spans="1:7" s="43" customFormat="1" ht="15" x14ac:dyDescent="0.2"/>
    <row r="489" spans="1:7" s="43" customFormat="1" ht="15" x14ac:dyDescent="0.2">
      <c r="A489" s="44" t="s">
        <v>540</v>
      </c>
    </row>
    <row r="490" spans="1:7" s="43" customFormat="1" ht="15" x14ac:dyDescent="0.2">
      <c r="A490" s="54">
        <v>0.05</v>
      </c>
      <c r="B490" s="47" t="s">
        <v>87</v>
      </c>
      <c r="C490" s="43" t="s">
        <v>541</v>
      </c>
    </row>
    <row r="491" spans="1:7" s="43" customFormat="1" ht="15" x14ac:dyDescent="0.2">
      <c r="A491" s="47">
        <v>3</v>
      </c>
      <c r="B491" s="47" t="s">
        <v>89</v>
      </c>
      <c r="C491" s="43" t="s">
        <v>542</v>
      </c>
    </row>
    <row r="492" spans="1:7" s="43" customFormat="1" ht="15" x14ac:dyDescent="0.2">
      <c r="A492" s="47">
        <v>-1000</v>
      </c>
      <c r="B492" s="47" t="s">
        <v>91</v>
      </c>
      <c r="C492" s="43" t="s">
        <v>543</v>
      </c>
    </row>
    <row r="493" spans="1:7" s="43" customFormat="1" ht="15" x14ac:dyDescent="0.2">
      <c r="A493" s="47">
        <v>0</v>
      </c>
      <c r="B493" s="47" t="s">
        <v>93</v>
      </c>
      <c r="C493" s="43" t="s">
        <v>544</v>
      </c>
    </row>
    <row r="494" spans="1:7" s="43" customFormat="1" ht="15" x14ac:dyDescent="0.2">
      <c r="A494" s="47">
        <v>0</v>
      </c>
      <c r="B494" s="47" t="s">
        <v>95</v>
      </c>
      <c r="C494" s="43" t="s">
        <v>545</v>
      </c>
    </row>
    <row r="495" spans="1:7" s="43" customFormat="1" ht="15" x14ac:dyDescent="0.2"/>
    <row r="496" spans="1:7" s="43" customFormat="1" ht="15" x14ac:dyDescent="0.2">
      <c r="A496" s="56">
        <f>FV(A490,A491,A492,A493,A494)</f>
        <v>3152.5000000000027</v>
      </c>
      <c r="C496" s="43" t="str">
        <f ca="1">_xlfn.FORMULATEXT(A496)</f>
        <v>=FV(A490,A491,A492,A493,A494)</v>
      </c>
    </row>
    <row r="497" spans="1:7" s="43" customFormat="1" ht="15" x14ac:dyDescent="0.2"/>
    <row r="498" spans="1:7" s="43" customFormat="1" ht="15" x14ac:dyDescent="0.2">
      <c r="A498" s="52" t="s">
        <v>546</v>
      </c>
      <c r="B498" s="53"/>
      <c r="C498" s="53"/>
      <c r="D498" s="53"/>
      <c r="E498" s="53"/>
      <c r="F498" s="53"/>
      <c r="G498" s="53"/>
    </row>
    <row r="499" spans="1:7" s="43" customFormat="1" ht="15" x14ac:dyDescent="0.2"/>
    <row r="500" spans="1:7" s="43" customFormat="1" ht="15" x14ac:dyDescent="0.2">
      <c r="C500" s="49">
        <v>3</v>
      </c>
      <c r="D500" s="49">
        <v>2</v>
      </c>
      <c r="E500" s="49">
        <v>1</v>
      </c>
      <c r="F500" s="49">
        <v>0</v>
      </c>
      <c r="G500" s="47" t="s">
        <v>538</v>
      </c>
    </row>
    <row r="501" spans="1:7" s="43" customFormat="1" ht="15" x14ac:dyDescent="0.2">
      <c r="D501" s="48">
        <v>1000</v>
      </c>
      <c r="E501" s="51">
        <v>1000</v>
      </c>
      <c r="F501" s="50">
        <v>1000</v>
      </c>
      <c r="G501" s="47" t="s">
        <v>115</v>
      </c>
    </row>
    <row r="502" spans="1:7" s="43" customFormat="1" ht="15" x14ac:dyDescent="0.2">
      <c r="C502" s="47" t="s">
        <v>119</v>
      </c>
    </row>
    <row r="503" spans="1:7" s="43" customFormat="1" ht="15" x14ac:dyDescent="0.2"/>
    <row r="504" spans="1:7" s="43" customFormat="1" ht="15" x14ac:dyDescent="0.2">
      <c r="A504" s="43" t="s">
        <v>547</v>
      </c>
    </row>
    <row r="505" spans="1:7" s="43" customFormat="1" ht="15" x14ac:dyDescent="0.2">
      <c r="A505" s="43" t="s">
        <v>548</v>
      </c>
    </row>
    <row r="506" spans="1:7" s="43" customFormat="1" ht="15" x14ac:dyDescent="0.2">
      <c r="A506" s="43" t="s">
        <v>549</v>
      </c>
      <c r="D506" s="55">
        <f>A496*1.05</f>
        <v>3310.1250000000032</v>
      </c>
      <c r="F506" s="43" t="s">
        <v>550</v>
      </c>
    </row>
    <row r="507" spans="1:7" s="43" customFormat="1" ht="15" x14ac:dyDescent="0.2"/>
    <row r="508" spans="1:7" s="43" customFormat="1" ht="15" x14ac:dyDescent="0.2">
      <c r="A508" s="44" t="s">
        <v>540</v>
      </c>
    </row>
    <row r="509" spans="1:7" s="43" customFormat="1" ht="15" x14ac:dyDescent="0.2">
      <c r="A509" s="54">
        <v>0.05</v>
      </c>
      <c r="B509" s="47" t="s">
        <v>87</v>
      </c>
      <c r="C509" s="43" t="s">
        <v>541</v>
      </c>
    </row>
    <row r="510" spans="1:7" s="43" customFormat="1" ht="15" x14ac:dyDescent="0.2">
      <c r="A510" s="47">
        <v>3</v>
      </c>
      <c r="B510" s="47" t="s">
        <v>89</v>
      </c>
      <c r="C510" s="43" t="s">
        <v>542</v>
      </c>
    </row>
    <row r="511" spans="1:7" s="43" customFormat="1" ht="15" x14ac:dyDescent="0.2">
      <c r="A511" s="47">
        <v>-1000</v>
      </c>
      <c r="B511" s="47" t="s">
        <v>91</v>
      </c>
      <c r="C511" s="43" t="s">
        <v>543</v>
      </c>
    </row>
    <row r="512" spans="1:7" s="43" customFormat="1" ht="15" x14ac:dyDescent="0.2">
      <c r="A512" s="47">
        <v>0</v>
      </c>
      <c r="B512" s="47" t="s">
        <v>93</v>
      </c>
      <c r="C512" s="43" t="s">
        <v>551</v>
      </c>
    </row>
    <row r="513" spans="1:8" s="43" customFormat="1" ht="15" x14ac:dyDescent="0.2">
      <c r="A513" s="47">
        <v>1</v>
      </c>
      <c r="B513" s="47" t="s">
        <v>95</v>
      </c>
      <c r="C513" s="43" t="s">
        <v>545</v>
      </c>
    </row>
    <row r="514" spans="1:8" s="43" customFormat="1" ht="15" x14ac:dyDescent="0.2"/>
    <row r="515" spans="1:8" s="43" customFormat="1" ht="15" x14ac:dyDescent="0.2">
      <c r="A515" s="56">
        <f>FV(A509,A510,A511,A512,A513)</f>
        <v>3310.1250000000027</v>
      </c>
      <c r="C515" s="43" t="str">
        <f ca="1">_xlfn.FORMULATEXT(A515)</f>
        <v>=FV(A509,A510,A511,A512,A513)</v>
      </c>
    </row>
    <row r="516" spans="1:8" s="43" customFormat="1" ht="15" x14ac:dyDescent="0.2">
      <c r="A516" s="57"/>
    </row>
    <row r="517" spans="1:8" s="43" customFormat="1" ht="15" x14ac:dyDescent="0.2">
      <c r="A517" s="58" t="s">
        <v>552</v>
      </c>
    </row>
    <row r="518" spans="1:8" s="43" customFormat="1" ht="15" x14ac:dyDescent="0.2">
      <c r="A518" s="58" t="s">
        <v>553</v>
      </c>
    </row>
    <row r="519" spans="1:8" s="43" customFormat="1" ht="15" x14ac:dyDescent="0.2">
      <c r="A519" s="58" t="s">
        <v>554</v>
      </c>
    </row>
    <row r="520" spans="1:8" s="43" customFormat="1" ht="15" x14ac:dyDescent="0.2">
      <c r="A520" s="57"/>
    </row>
    <row r="521" spans="1:8" s="43" customFormat="1" ht="15" x14ac:dyDescent="0.2">
      <c r="A521" s="58" t="s">
        <v>555</v>
      </c>
    </row>
    <row r="522" spans="1:8" s="43" customFormat="1" ht="15" x14ac:dyDescent="0.2">
      <c r="A522" s="58" t="s">
        <v>556</v>
      </c>
    </row>
    <row r="523" spans="1:8" s="43" customFormat="1" ht="15" x14ac:dyDescent="0.2">
      <c r="A523" s="57"/>
    </row>
    <row r="524" spans="1:8" s="43" customFormat="1" ht="15" x14ac:dyDescent="0.2"/>
    <row r="525" spans="1:8" s="43" customFormat="1" ht="15" x14ac:dyDescent="0.2">
      <c r="A525" s="45" t="s">
        <v>557</v>
      </c>
      <c r="B525" s="46"/>
      <c r="C525" s="46"/>
      <c r="D525" s="46"/>
      <c r="E525" s="46"/>
      <c r="F525" s="46"/>
      <c r="G525" s="46"/>
      <c r="H525" s="46"/>
    </row>
    <row r="526" spans="1:8" s="43" customFormat="1" ht="15" x14ac:dyDescent="0.2">
      <c r="A526" s="43" t="s">
        <v>558</v>
      </c>
    </row>
    <row r="527" spans="1:8" s="43" customFormat="1" ht="15" x14ac:dyDescent="0.2">
      <c r="A527" s="43" t="s">
        <v>559</v>
      </c>
    </row>
    <row r="528" spans="1:8" s="43" customFormat="1" ht="15" x14ac:dyDescent="0.2">
      <c r="A528" s="43" t="s">
        <v>560</v>
      </c>
    </row>
    <row r="529" spans="1:7" s="43" customFormat="1" ht="15" x14ac:dyDescent="0.2">
      <c r="A529" s="43" t="s">
        <v>561</v>
      </c>
    </row>
    <row r="530" spans="1:7" s="43" customFormat="1" ht="15" x14ac:dyDescent="0.2"/>
    <row r="531" spans="1:7" s="43" customFormat="1" ht="15" x14ac:dyDescent="0.2">
      <c r="A531" s="43" t="s">
        <v>562</v>
      </c>
    </row>
    <row r="532" spans="1:7" s="43" customFormat="1" ht="15" x14ac:dyDescent="0.2">
      <c r="A532" s="43" t="s">
        <v>563</v>
      </c>
    </row>
    <row r="533" spans="1:7" s="43" customFormat="1" ht="15" x14ac:dyDescent="0.2"/>
    <row r="534" spans="1:7" s="43" customFormat="1" ht="15" x14ac:dyDescent="0.2">
      <c r="A534" s="49" t="s">
        <v>564</v>
      </c>
      <c r="B534" s="49" t="s">
        <v>115</v>
      </c>
      <c r="C534" s="49" t="s">
        <v>565</v>
      </c>
    </row>
    <row r="535" spans="1:7" s="43" customFormat="1" ht="15" x14ac:dyDescent="0.2">
      <c r="A535" s="47">
        <v>1</v>
      </c>
      <c r="B535" s="48">
        <v>8500</v>
      </c>
      <c r="C535" s="54">
        <v>0.06</v>
      </c>
      <c r="D535" s="43" t="s">
        <v>87</v>
      </c>
    </row>
    <row r="536" spans="1:7" s="43" customFormat="1" ht="15" x14ac:dyDescent="0.2">
      <c r="A536" s="47">
        <v>2</v>
      </c>
      <c r="B536" s="48">
        <f t="shared" ref="B536:B544" si="0">B535</f>
        <v>8500</v>
      </c>
      <c r="C536" s="47">
        <v>8</v>
      </c>
      <c r="D536" s="43" t="s">
        <v>89</v>
      </c>
    </row>
    <row r="537" spans="1:7" s="43" customFormat="1" ht="15" x14ac:dyDescent="0.2">
      <c r="A537" s="47" t="s">
        <v>566</v>
      </c>
      <c r="B537" s="48">
        <f t="shared" si="0"/>
        <v>8500</v>
      </c>
      <c r="C537" s="47">
        <f>-8500</f>
        <v>-8500</v>
      </c>
      <c r="D537" s="43" t="s">
        <v>91</v>
      </c>
    </row>
    <row r="538" spans="1:7" s="43" customFormat="1" ht="15" x14ac:dyDescent="0.2">
      <c r="A538" s="47" t="s">
        <v>566</v>
      </c>
      <c r="B538" s="48">
        <f t="shared" si="0"/>
        <v>8500</v>
      </c>
      <c r="C538" s="47">
        <v>0</v>
      </c>
      <c r="D538" s="43" t="s">
        <v>93</v>
      </c>
      <c r="F538" s="43" t="s">
        <v>567</v>
      </c>
    </row>
    <row r="539" spans="1:7" s="43" customFormat="1" ht="15" x14ac:dyDescent="0.2">
      <c r="A539" s="49">
        <v>8</v>
      </c>
      <c r="B539" s="60">
        <f t="shared" si="0"/>
        <v>8500</v>
      </c>
      <c r="C539" s="49">
        <v>0</v>
      </c>
      <c r="D539" s="59" t="s">
        <v>95</v>
      </c>
      <c r="E539" s="62">
        <f>FV(C535,C536,C537,C538,C539)</f>
        <v>84128.477225202674</v>
      </c>
      <c r="G539" s="43" t="str">
        <f ca="1">_xlfn.FORMULATEXT(E539)</f>
        <v>=FV(C535,C536,C537,C538,C539)</v>
      </c>
    </row>
    <row r="540" spans="1:7" s="43" customFormat="1" ht="15" x14ac:dyDescent="0.2">
      <c r="A540" s="47">
        <v>9</v>
      </c>
      <c r="B540" s="48">
        <f t="shared" si="0"/>
        <v>8500</v>
      </c>
      <c r="C540" s="54">
        <v>0.08</v>
      </c>
      <c r="D540" s="43" t="s">
        <v>87</v>
      </c>
    </row>
    <row r="541" spans="1:7" s="43" customFormat="1" ht="15" x14ac:dyDescent="0.2">
      <c r="A541" s="47">
        <v>10</v>
      </c>
      <c r="B541" s="48">
        <f t="shared" si="0"/>
        <v>8500</v>
      </c>
      <c r="C541" s="47">
        <v>12</v>
      </c>
      <c r="D541" s="43" t="s">
        <v>89</v>
      </c>
    </row>
    <row r="542" spans="1:7" s="43" customFormat="1" ht="15" x14ac:dyDescent="0.2">
      <c r="A542" s="47" t="s">
        <v>566</v>
      </c>
      <c r="B542" s="48">
        <f t="shared" si="0"/>
        <v>8500</v>
      </c>
      <c r="C542" s="47">
        <f>-8500</f>
        <v>-8500</v>
      </c>
      <c r="D542" s="43" t="s">
        <v>91</v>
      </c>
    </row>
    <row r="543" spans="1:7" s="43" customFormat="1" ht="15" x14ac:dyDescent="0.2">
      <c r="A543" s="47" t="s">
        <v>566</v>
      </c>
      <c r="B543" s="48">
        <f t="shared" si="0"/>
        <v>8500</v>
      </c>
      <c r="C543" s="61">
        <f>-E539</f>
        <v>-84128.477225202674</v>
      </c>
      <c r="D543" s="43" t="s">
        <v>93</v>
      </c>
    </row>
    <row r="544" spans="1:7" s="43" customFormat="1" ht="15" x14ac:dyDescent="0.2">
      <c r="A544" s="47">
        <v>20</v>
      </c>
      <c r="B544" s="48">
        <f t="shared" si="0"/>
        <v>8500</v>
      </c>
      <c r="C544" s="47">
        <v>0</v>
      </c>
      <c r="D544" s="43" t="s">
        <v>95</v>
      </c>
      <c r="E544" s="63">
        <f>FV(C540,C541,C542,C543,C544)</f>
        <v>373155.39223400806</v>
      </c>
      <c r="F544" s="43" t="s">
        <v>568</v>
      </c>
    </row>
    <row r="545" spans="1:8" s="43" customFormat="1" ht="15" x14ac:dyDescent="0.2"/>
    <row r="546" spans="1:8" s="43" customFormat="1" ht="15" x14ac:dyDescent="0.2">
      <c r="A546" s="43" t="s">
        <v>569</v>
      </c>
    </row>
    <row r="547" spans="1:8" s="43" customFormat="1" ht="15" x14ac:dyDescent="0.2">
      <c r="A547" s="43" t="s">
        <v>570</v>
      </c>
    </row>
    <row r="548" spans="1:8" s="43" customFormat="1" ht="15" x14ac:dyDescent="0.2">
      <c r="A548" s="43" t="s">
        <v>571</v>
      </c>
    </row>
    <row r="549" spans="1:8" s="43" customFormat="1" ht="15" x14ac:dyDescent="0.2"/>
    <row r="550" spans="1:8" s="43" customFormat="1" ht="15" x14ac:dyDescent="0.2">
      <c r="A550" s="45" t="s">
        <v>572</v>
      </c>
      <c r="B550" s="46"/>
      <c r="C550" s="46"/>
      <c r="D550" s="46"/>
      <c r="E550" s="46"/>
      <c r="F550" s="46"/>
      <c r="G550" s="46"/>
      <c r="H550" s="46"/>
    </row>
    <row r="551" spans="1:8" s="43" customFormat="1" ht="15" x14ac:dyDescent="0.2">
      <c r="A551" s="43" t="s">
        <v>573</v>
      </c>
    </row>
    <row r="552" spans="1:8" s="43" customFormat="1" ht="15" x14ac:dyDescent="0.2">
      <c r="A552" s="43" t="s">
        <v>574</v>
      </c>
    </row>
    <row r="553" spans="1:8" s="43" customFormat="1" ht="15" x14ac:dyDescent="0.2">
      <c r="A553" s="43" t="s">
        <v>575</v>
      </c>
    </row>
    <row r="554" spans="1:8" s="43" customFormat="1" ht="15" x14ac:dyDescent="0.2"/>
    <row r="555" spans="1:8" s="43" customFormat="1" ht="15" x14ac:dyDescent="0.2">
      <c r="A555" s="43" t="s">
        <v>576</v>
      </c>
    </row>
    <row r="556" spans="1:8" s="43" customFormat="1" ht="15" x14ac:dyDescent="0.2">
      <c r="A556" s="43" t="s">
        <v>577</v>
      </c>
    </row>
    <row r="557" spans="1:8" s="43" customFormat="1" ht="15" x14ac:dyDescent="0.2"/>
    <row r="558" spans="1:8" s="43" customFormat="1" ht="15" x14ac:dyDescent="0.2">
      <c r="A558" s="43" t="s">
        <v>564</v>
      </c>
      <c r="B558" s="47" t="s">
        <v>115</v>
      </c>
      <c r="F558" s="64">
        <v>5.0000000000000001E-3</v>
      </c>
      <c r="G558" s="47" t="s">
        <v>87</v>
      </c>
    </row>
    <row r="559" spans="1:8" s="43" customFormat="1" ht="16" thickBot="1" x14ac:dyDescent="0.25">
      <c r="A559" s="43">
        <v>0</v>
      </c>
      <c r="B559" s="47" t="s">
        <v>91</v>
      </c>
      <c r="F559" s="47">
        <v>5</v>
      </c>
      <c r="G559" s="47" t="s">
        <v>89</v>
      </c>
    </row>
    <row r="560" spans="1:8" s="43" customFormat="1" ht="16" thickBot="1" x14ac:dyDescent="0.25">
      <c r="A560" s="43">
        <v>1</v>
      </c>
      <c r="B560" s="47" t="s">
        <v>91</v>
      </c>
      <c r="C560" s="66" t="s">
        <v>578</v>
      </c>
      <c r="D560" s="67"/>
      <c r="E560" s="67"/>
      <c r="F560" s="68">
        <f>PMT(F558,F559,F561,F563,F562)</f>
        <v>-633.63191992159386</v>
      </c>
      <c r="G560" s="69" t="s">
        <v>91</v>
      </c>
    </row>
    <row r="561" spans="1:7" s="43" customFormat="1" ht="15" x14ac:dyDescent="0.2">
      <c r="A561" s="43">
        <v>2</v>
      </c>
      <c r="B561" s="47" t="s">
        <v>91</v>
      </c>
      <c r="F561" s="47">
        <v>0</v>
      </c>
      <c r="G561" s="47" t="s">
        <v>93</v>
      </c>
    </row>
    <row r="562" spans="1:7" s="43" customFormat="1" ht="15" x14ac:dyDescent="0.2">
      <c r="A562" s="43">
        <v>3</v>
      </c>
      <c r="B562" s="47" t="s">
        <v>91</v>
      </c>
      <c r="F562" s="47">
        <v>0</v>
      </c>
      <c r="G562" s="47" t="s">
        <v>95</v>
      </c>
    </row>
    <row r="563" spans="1:7" s="43" customFormat="1" ht="15" x14ac:dyDescent="0.2">
      <c r="A563" s="43">
        <v>4</v>
      </c>
      <c r="B563" s="47" t="s">
        <v>91</v>
      </c>
      <c r="C563" s="43" t="s">
        <v>579</v>
      </c>
      <c r="F563" s="47">
        <f>1600*2</f>
        <v>3200</v>
      </c>
      <c r="G563" s="47" t="s">
        <v>580</v>
      </c>
    </row>
    <row r="564" spans="1:7" s="43" customFormat="1" ht="15" x14ac:dyDescent="0.2"/>
    <row r="565" spans="1:7" s="43" customFormat="1" ht="15" x14ac:dyDescent="0.2">
      <c r="A565" s="43" t="s">
        <v>581</v>
      </c>
    </row>
    <row r="566" spans="1:7" s="43" customFormat="1" ht="15" x14ac:dyDescent="0.2">
      <c r="A566" s="43" t="s">
        <v>582</v>
      </c>
    </row>
    <row r="567" spans="1:7" s="43" customFormat="1" ht="15" x14ac:dyDescent="0.2">
      <c r="A567" s="43" t="s">
        <v>583</v>
      </c>
    </row>
    <row r="568" spans="1:7" s="43" customFormat="1" ht="15" x14ac:dyDescent="0.2">
      <c r="A568" s="43" t="s">
        <v>584</v>
      </c>
      <c r="D568" s="43">
        <v>5</v>
      </c>
      <c r="E568" s="43" t="s">
        <v>585</v>
      </c>
    </row>
    <row r="569" spans="1:7" s="43" customFormat="1" ht="15" x14ac:dyDescent="0.2"/>
    <row r="570" spans="1:7" s="43" customFormat="1" ht="15" x14ac:dyDescent="0.2">
      <c r="A570" s="43" t="s">
        <v>586</v>
      </c>
    </row>
    <row r="571" spans="1:7" s="43" customFormat="1" ht="15" x14ac:dyDescent="0.2">
      <c r="A571" s="43" t="s">
        <v>587</v>
      </c>
    </row>
    <row r="572" spans="1:7" s="43" customFormat="1" ht="15" x14ac:dyDescent="0.2">
      <c r="A572" s="43" t="s">
        <v>588</v>
      </c>
    </row>
    <row r="573" spans="1:7" s="43" customFormat="1" ht="15" x14ac:dyDescent="0.2">
      <c r="A573" s="43" t="s">
        <v>589</v>
      </c>
    </row>
    <row r="574" spans="1:7" s="43" customFormat="1" ht="15" x14ac:dyDescent="0.2"/>
    <row r="575" spans="1:7" s="43" customFormat="1" ht="15" x14ac:dyDescent="0.2">
      <c r="A575" s="43" t="s">
        <v>590</v>
      </c>
      <c r="F575" s="43" t="str">
        <f ca="1">_xlfn.FORMULATEXT(F560)</f>
        <v>=PMT(F558,F559,F561,F563,F562)</v>
      </c>
    </row>
    <row r="576" spans="1:7" s="43" customFormat="1" ht="15" x14ac:dyDescent="0.2"/>
    <row r="577" spans="1:8" s="43" customFormat="1" ht="15" x14ac:dyDescent="0.2"/>
    <row r="578" spans="1:8" s="43" customFormat="1" ht="15" x14ac:dyDescent="0.2">
      <c r="A578" s="45" t="s">
        <v>591</v>
      </c>
      <c r="B578" s="46"/>
      <c r="C578" s="46"/>
      <c r="D578" s="46"/>
      <c r="E578" s="46"/>
      <c r="F578" s="46"/>
      <c r="G578" s="46"/>
      <c r="H578" s="46"/>
    </row>
    <row r="579" spans="1:8" s="43" customFormat="1" ht="15" x14ac:dyDescent="0.2">
      <c r="A579" s="43" t="s">
        <v>592</v>
      </c>
    </row>
    <row r="580" spans="1:8" s="43" customFormat="1" ht="15" x14ac:dyDescent="0.2">
      <c r="A580" s="43" t="s">
        <v>593</v>
      </c>
    </row>
    <row r="581" spans="1:8" s="43" customFormat="1" ht="15" x14ac:dyDescent="0.2">
      <c r="A581" s="43" t="s">
        <v>594</v>
      </c>
    </row>
    <row r="582" spans="1:8" s="43" customFormat="1" ht="15" x14ac:dyDescent="0.2"/>
    <row r="583" spans="1:8" s="43" customFormat="1" ht="15" x14ac:dyDescent="0.2">
      <c r="C583" s="43" t="str">
        <f ca="1">_xlfn.FORMULATEXT(D583)</f>
        <v>=RATE(D584,D585,D586,D588,D587)</v>
      </c>
      <c r="D583" s="70">
        <f>RATE(D584,D585,D586,D588,D587)</f>
        <v>0.11999106014501489</v>
      </c>
      <c r="E583" s="47" t="s">
        <v>87</v>
      </c>
    </row>
    <row r="584" spans="1:8" s="43" customFormat="1" ht="15" x14ac:dyDescent="0.2">
      <c r="D584" s="47">
        <v>6</v>
      </c>
      <c r="E584" s="47" t="s">
        <v>89</v>
      </c>
    </row>
    <row r="585" spans="1:8" s="43" customFormat="1" ht="15" x14ac:dyDescent="0.2">
      <c r="D585" s="47">
        <f>-12322.85</f>
        <v>-12322.85</v>
      </c>
      <c r="E585" s="47" t="s">
        <v>91</v>
      </c>
    </row>
    <row r="586" spans="1:8" s="43" customFormat="1" ht="15" x14ac:dyDescent="0.2">
      <c r="D586" s="47">
        <v>0</v>
      </c>
      <c r="E586" s="47" t="s">
        <v>93</v>
      </c>
    </row>
    <row r="587" spans="1:8" s="43" customFormat="1" ht="15" x14ac:dyDescent="0.2">
      <c r="D587" s="47">
        <v>0</v>
      </c>
      <c r="E587" s="47" t="s">
        <v>95</v>
      </c>
    </row>
    <row r="588" spans="1:8" s="43" customFormat="1" ht="15" x14ac:dyDescent="0.2">
      <c r="D588" s="48">
        <v>100000</v>
      </c>
      <c r="E588" s="47" t="s">
        <v>580</v>
      </c>
    </row>
    <row r="589" spans="1:8" s="43" customFormat="1" ht="15" x14ac:dyDescent="0.2"/>
    <row r="591" spans="1:8" s="43" customFormat="1" ht="15" x14ac:dyDescent="0.2">
      <c r="A591" s="45" t="s">
        <v>595</v>
      </c>
      <c r="B591" s="46"/>
      <c r="C591" s="46"/>
      <c r="D591" s="46"/>
      <c r="E591" s="46"/>
      <c r="F591" s="46"/>
      <c r="G591" s="46"/>
      <c r="H591" s="46"/>
    </row>
    <row r="592" spans="1:8" s="43" customFormat="1" ht="15" x14ac:dyDescent="0.2">
      <c r="A592" s="43" t="s">
        <v>596</v>
      </c>
    </row>
    <row r="593" spans="1:8" s="43" customFormat="1" ht="15" x14ac:dyDescent="0.2">
      <c r="A593" s="43" t="s">
        <v>597</v>
      </c>
    </row>
    <row r="594" spans="1:8" s="43" customFormat="1" ht="15" x14ac:dyDescent="0.2">
      <c r="A594" s="43" t="s">
        <v>598</v>
      </c>
    </row>
    <row r="595" spans="1:8" s="43" customFormat="1" ht="15" x14ac:dyDescent="0.2">
      <c r="A595" s="43" t="s">
        <v>599</v>
      </c>
    </row>
    <row r="596" spans="1:8" s="43" customFormat="1" ht="15" x14ac:dyDescent="0.2"/>
    <row r="597" spans="1:8" s="43" customFormat="1" ht="15" x14ac:dyDescent="0.2">
      <c r="C597" s="72">
        <v>6.0000000000000001E-3</v>
      </c>
      <c r="D597" s="47" t="s">
        <v>87</v>
      </c>
    </row>
    <row r="598" spans="1:8" s="43" customFormat="1" ht="15" x14ac:dyDescent="0.2">
      <c r="C598" s="47">
        <v>12</v>
      </c>
      <c r="D598" s="47" t="s">
        <v>89</v>
      </c>
    </row>
    <row r="599" spans="1:8" s="43" customFormat="1" ht="15" x14ac:dyDescent="0.2">
      <c r="C599" s="47">
        <v>-6000</v>
      </c>
      <c r="D599" s="47" t="s">
        <v>91</v>
      </c>
    </row>
    <row r="600" spans="1:8" s="43" customFormat="1" ht="15" x14ac:dyDescent="0.2">
      <c r="C600" s="47">
        <f>-25000</f>
        <v>-25000</v>
      </c>
      <c r="D600" s="47" t="s">
        <v>93</v>
      </c>
    </row>
    <row r="601" spans="1:8" s="43" customFormat="1" ht="15" x14ac:dyDescent="0.2">
      <c r="C601" s="47">
        <v>0</v>
      </c>
      <c r="D601" s="47" t="s">
        <v>95</v>
      </c>
    </row>
    <row r="602" spans="1:8" s="43" customFormat="1" ht="15" x14ac:dyDescent="0.2">
      <c r="C602" s="65">
        <f>FV(C597,C598,C599,C600,C601)</f>
        <v>101284.77191497273</v>
      </c>
      <c r="D602" s="47" t="s">
        <v>580</v>
      </c>
    </row>
    <row r="603" spans="1:8" s="43" customFormat="1" ht="15" x14ac:dyDescent="0.2"/>
    <row r="604" spans="1:8" s="43" customFormat="1" ht="15" x14ac:dyDescent="0.2"/>
    <row r="605" spans="1:8" s="43" customFormat="1" ht="15" x14ac:dyDescent="0.2">
      <c r="A605" s="45" t="s">
        <v>600</v>
      </c>
      <c r="B605" s="46"/>
      <c r="C605" s="46"/>
      <c r="D605" s="46"/>
      <c r="E605" s="46"/>
      <c r="F605" s="46"/>
      <c r="G605" s="46"/>
      <c r="H605" s="46"/>
    </row>
    <row r="606" spans="1:8" s="43" customFormat="1" ht="15" x14ac:dyDescent="0.2">
      <c r="A606" s="43" t="s">
        <v>601</v>
      </c>
    </row>
    <row r="607" spans="1:8" s="43" customFormat="1" ht="15" x14ac:dyDescent="0.2">
      <c r="A607" s="43" t="s">
        <v>602</v>
      </c>
    </row>
    <row r="608" spans="1:8" s="43" customFormat="1" ht="15" x14ac:dyDescent="0.2">
      <c r="A608" s="43" t="s">
        <v>603</v>
      </c>
    </row>
    <row r="609" spans="1:8" s="43" customFormat="1" ht="15" x14ac:dyDescent="0.2">
      <c r="A609" s="43" t="s">
        <v>604</v>
      </c>
    </row>
    <row r="610" spans="1:8" s="43" customFormat="1" ht="15" x14ac:dyDescent="0.2">
      <c r="A610" s="43" t="s">
        <v>605</v>
      </c>
    </row>
    <row r="611" spans="1:8" s="43" customFormat="1" ht="15" x14ac:dyDescent="0.2">
      <c r="A611" s="43" t="s">
        <v>606</v>
      </c>
    </row>
    <row r="612" spans="1:8" s="43" customFormat="1" ht="15" x14ac:dyDescent="0.2"/>
    <row r="613" spans="1:8" s="43" customFormat="1" ht="15" x14ac:dyDescent="0.2">
      <c r="A613" s="43" t="s">
        <v>607</v>
      </c>
    </row>
    <row r="614" spans="1:8" s="43" customFormat="1" ht="15" x14ac:dyDescent="0.2"/>
    <row r="615" spans="1:8" s="43" customFormat="1" ht="15" x14ac:dyDescent="0.2">
      <c r="A615" s="44" t="s">
        <v>608</v>
      </c>
      <c r="B615" s="44"/>
      <c r="C615" s="44"/>
      <c r="D615" s="44"/>
      <c r="E615" s="44"/>
      <c r="F615" s="44"/>
      <c r="G615" s="44"/>
      <c r="H615" s="44"/>
    </row>
    <row r="616" spans="1:8" s="43" customFormat="1" ht="15" x14ac:dyDescent="0.2">
      <c r="A616" s="44" t="s">
        <v>609</v>
      </c>
    </row>
    <row r="617" spans="1:8" s="43" customFormat="1" ht="15" x14ac:dyDescent="0.2">
      <c r="A617" s="44"/>
    </row>
    <row r="618" spans="1:8" s="43" customFormat="1" ht="15" x14ac:dyDescent="0.2">
      <c r="B618" s="49" t="s">
        <v>610</v>
      </c>
      <c r="C618" s="49" t="s">
        <v>611</v>
      </c>
    </row>
    <row r="619" spans="1:8" s="43" customFormat="1" ht="15" x14ac:dyDescent="0.2">
      <c r="B619" s="54">
        <f>C619</f>
        <v>0.05</v>
      </c>
      <c r="C619" s="54">
        <v>0.05</v>
      </c>
      <c r="D619" s="47" t="s">
        <v>87</v>
      </c>
    </row>
    <row r="620" spans="1:8" s="43" customFormat="1" ht="15" x14ac:dyDescent="0.2">
      <c r="B620" s="47">
        <v>4</v>
      </c>
      <c r="C620" s="47">
        <v>4</v>
      </c>
      <c r="D620" s="47" t="s">
        <v>89</v>
      </c>
    </row>
    <row r="621" spans="1:8" s="43" customFormat="1" ht="15" x14ac:dyDescent="0.2">
      <c r="B621" s="47">
        <f>-70000</f>
        <v>-70000</v>
      </c>
      <c r="C621" s="47">
        <v>-25000</v>
      </c>
      <c r="D621" s="47" t="s">
        <v>91</v>
      </c>
    </row>
    <row r="622" spans="1:8" s="43" customFormat="1" ht="15" x14ac:dyDescent="0.2">
      <c r="B622" s="47">
        <v>0</v>
      </c>
      <c r="C622" s="47">
        <v>-150000</v>
      </c>
      <c r="D622" s="47" t="s">
        <v>93</v>
      </c>
    </row>
    <row r="623" spans="1:8" s="43" customFormat="1" ht="15" x14ac:dyDescent="0.2">
      <c r="B623" s="47">
        <v>0</v>
      </c>
      <c r="C623" s="47">
        <v>0</v>
      </c>
      <c r="D623" s="47" t="s">
        <v>95</v>
      </c>
    </row>
    <row r="624" spans="1:8" s="43" customFormat="1" ht="15" x14ac:dyDescent="0.2">
      <c r="B624" s="65">
        <f>FV(B619,B620,B621,B622,B623)</f>
        <v>301708.75</v>
      </c>
      <c r="C624" s="65">
        <f>FV(C619,C620,C621,C622,C623)</f>
        <v>290079.0625</v>
      </c>
      <c r="D624" s="47" t="s">
        <v>580</v>
      </c>
    </row>
    <row r="625" spans="1:8" s="43" customFormat="1" ht="15" x14ac:dyDescent="0.2"/>
    <row r="626" spans="1:8" s="43" customFormat="1" ht="15" x14ac:dyDescent="0.2">
      <c r="A626" s="43" t="s">
        <v>612</v>
      </c>
    </row>
    <row r="627" spans="1:8" s="43" customFormat="1" ht="15" x14ac:dyDescent="0.2"/>
    <row r="628" spans="1:8" s="43" customFormat="1" ht="15" x14ac:dyDescent="0.2"/>
    <row r="629" spans="1:8" s="43" customFormat="1" ht="15" x14ac:dyDescent="0.2">
      <c r="A629" s="45" t="s">
        <v>613</v>
      </c>
      <c r="B629" s="46"/>
      <c r="C629" s="46"/>
      <c r="D629" s="46"/>
      <c r="E629" s="46"/>
      <c r="F629" s="46"/>
      <c r="G629" s="46"/>
      <c r="H629" s="46"/>
    </row>
    <row r="630" spans="1:8" s="43" customFormat="1" ht="15" x14ac:dyDescent="0.2">
      <c r="A630" s="43" t="s">
        <v>614</v>
      </c>
    </row>
    <row r="631" spans="1:8" s="43" customFormat="1" ht="15" x14ac:dyDescent="0.2">
      <c r="A631" s="43" t="s">
        <v>615</v>
      </c>
    </row>
    <row r="632" spans="1:8" s="43" customFormat="1" ht="15" x14ac:dyDescent="0.2">
      <c r="A632" s="43" t="s">
        <v>616</v>
      </c>
    </row>
    <row r="633" spans="1:8" s="43" customFormat="1" ht="15" x14ac:dyDescent="0.2">
      <c r="A633" s="43" t="s">
        <v>617</v>
      </c>
    </row>
    <row r="634" spans="1:8" s="43" customFormat="1" ht="15" x14ac:dyDescent="0.2"/>
    <row r="635" spans="1:8" s="43" customFormat="1" ht="15" x14ac:dyDescent="0.2">
      <c r="C635" s="49" t="s">
        <v>611</v>
      </c>
    </row>
    <row r="636" spans="1:8" s="43" customFormat="1" ht="15" x14ac:dyDescent="0.2">
      <c r="C636" s="54">
        <v>0.09</v>
      </c>
      <c r="D636" s="47" t="s">
        <v>87</v>
      </c>
    </row>
    <row r="637" spans="1:8" s="43" customFormat="1" ht="15" x14ac:dyDescent="0.2">
      <c r="C637" s="47">
        <v>10</v>
      </c>
      <c r="D637" s="47" t="s">
        <v>89</v>
      </c>
    </row>
    <row r="638" spans="1:8" s="43" customFormat="1" ht="15" x14ac:dyDescent="0.2">
      <c r="C638" s="73">
        <f>PMT(C636,C637,C639,C641,C640)</f>
        <v>-543468.63227642584</v>
      </c>
      <c r="D638" s="47" t="s">
        <v>91</v>
      </c>
    </row>
    <row r="639" spans="1:8" s="43" customFormat="1" ht="15" x14ac:dyDescent="0.2">
      <c r="C639" s="47">
        <v>0</v>
      </c>
      <c r="D639" s="47" t="s">
        <v>93</v>
      </c>
    </row>
    <row r="640" spans="1:8" s="43" customFormat="1" ht="15" x14ac:dyDescent="0.2">
      <c r="C640" s="47">
        <v>1</v>
      </c>
      <c r="D640" s="47" t="s">
        <v>95</v>
      </c>
    </row>
    <row r="641" spans="1:8" s="43" customFormat="1" ht="15" x14ac:dyDescent="0.2">
      <c r="C641" s="47">
        <v>9000000</v>
      </c>
      <c r="D641" s="47" t="s">
        <v>580</v>
      </c>
    </row>
    <row r="642" spans="1:8" s="43" customFormat="1" ht="15" x14ac:dyDescent="0.2"/>
    <row r="643" spans="1:8" s="43" customFormat="1" ht="15" x14ac:dyDescent="0.2">
      <c r="A643" s="43" t="s">
        <v>618</v>
      </c>
    </row>
    <row r="644" spans="1:8" s="43" customFormat="1" ht="15" x14ac:dyDescent="0.2">
      <c r="A644" s="43" t="s">
        <v>619</v>
      </c>
    </row>
    <row r="645" spans="1:8" s="43" customFormat="1" ht="15" x14ac:dyDescent="0.2">
      <c r="A645" s="43" t="s">
        <v>620</v>
      </c>
    </row>
    <row r="646" spans="1:8" s="43" customFormat="1" ht="15" x14ac:dyDescent="0.2">
      <c r="A646" s="43" t="s">
        <v>621</v>
      </c>
    </row>
    <row r="648" spans="1:8" x14ac:dyDescent="0.25">
      <c r="A648" s="2" t="s">
        <v>622</v>
      </c>
      <c r="B648" s="2"/>
      <c r="C648" s="2"/>
      <c r="D648" s="2"/>
      <c r="E648" s="2"/>
      <c r="F648" s="2"/>
      <c r="G648" s="2"/>
      <c r="H648" s="2"/>
    </row>
    <row r="649" spans="1:8" x14ac:dyDescent="0.25">
      <c r="A649" s="1" t="s">
        <v>623</v>
      </c>
    </row>
    <row r="650" spans="1:8" x14ac:dyDescent="0.25">
      <c r="A650" s="1" t="s">
        <v>624</v>
      </c>
    </row>
    <row r="651" spans="1:8" x14ac:dyDescent="0.25">
      <c r="A651" s="1" t="s">
        <v>625</v>
      </c>
    </row>
    <row r="652" spans="1:8" x14ac:dyDescent="0.25">
      <c r="A652" s="1" t="s">
        <v>626</v>
      </c>
    </row>
    <row r="654" spans="1:8" x14ac:dyDescent="0.25">
      <c r="A654" s="1" t="s">
        <v>627</v>
      </c>
    </row>
    <row r="656" spans="1:8" x14ac:dyDescent="0.25">
      <c r="A656" s="1" t="s">
        <v>628</v>
      </c>
    </row>
    <row r="657" spans="1:5" x14ac:dyDescent="0.25">
      <c r="A657" s="1" t="s">
        <v>629</v>
      </c>
    </row>
    <row r="659" spans="1:5" x14ac:dyDescent="0.25">
      <c r="A659" s="19" t="s">
        <v>111</v>
      </c>
    </row>
    <row r="661" spans="1:5" x14ac:dyDescent="0.25">
      <c r="A661" s="1" t="s">
        <v>630</v>
      </c>
      <c r="C661" s="1" t="s">
        <v>631</v>
      </c>
      <c r="D661" s="1" t="s">
        <v>632</v>
      </c>
    </row>
    <row r="662" spans="1:5" x14ac:dyDescent="0.25">
      <c r="C662" s="5">
        <v>0.05</v>
      </c>
      <c r="D662" s="5">
        <v>0.05</v>
      </c>
      <c r="E662" s="1" t="s">
        <v>87</v>
      </c>
    </row>
    <row r="663" spans="1:5" x14ac:dyDescent="0.25">
      <c r="C663" s="1">
        <v>8</v>
      </c>
      <c r="D663" s="1">
        <v>4</v>
      </c>
      <c r="E663" s="1" t="s">
        <v>89</v>
      </c>
    </row>
    <row r="664" spans="1:5" x14ac:dyDescent="0.25">
      <c r="C664" s="437">
        <f>-D666</f>
        <v>21550.625</v>
      </c>
      <c r="D664" s="1">
        <v>0</v>
      </c>
      <c r="E664" s="1" t="s">
        <v>281</v>
      </c>
    </row>
    <row r="665" spans="1:5" x14ac:dyDescent="0.25">
      <c r="C665" s="1">
        <v>6000</v>
      </c>
      <c r="D665" s="1">
        <v>5000</v>
      </c>
      <c r="E665" s="1" t="s">
        <v>91</v>
      </c>
    </row>
    <row r="666" spans="1:5" x14ac:dyDescent="0.25">
      <c r="C666" s="437">
        <f>FV(C662,C663,C665,C664,C667)</f>
        <v>-89134.741477994161</v>
      </c>
      <c r="D666" s="437">
        <f>FV(D662,D663,D665,D664,D667)</f>
        <v>-21550.625</v>
      </c>
      <c r="E666" s="1" t="s">
        <v>105</v>
      </c>
    </row>
    <row r="667" spans="1:5" x14ac:dyDescent="0.25">
      <c r="C667" s="1">
        <v>0</v>
      </c>
      <c r="D667" s="1">
        <v>0</v>
      </c>
      <c r="E667" s="1" t="s">
        <v>328</v>
      </c>
    </row>
    <row r="669" spans="1:5" x14ac:dyDescent="0.25">
      <c r="A669" s="1" t="s">
        <v>633</v>
      </c>
    </row>
    <row r="670" spans="1:5" x14ac:dyDescent="0.25">
      <c r="A670" s="1" t="s">
        <v>634</v>
      </c>
    </row>
    <row r="671" spans="1:5" x14ac:dyDescent="0.25">
      <c r="A671" s="1" t="s">
        <v>635</v>
      </c>
    </row>
    <row r="673" spans="1:8" x14ac:dyDescent="0.25">
      <c r="A673" s="1" t="s">
        <v>636</v>
      </c>
      <c r="D673" s="1" t="s">
        <v>637</v>
      </c>
    </row>
    <row r="674" spans="1:8" x14ac:dyDescent="0.25">
      <c r="D674" s="5">
        <v>0.05</v>
      </c>
      <c r="E674" s="1" t="s">
        <v>87</v>
      </c>
    </row>
    <row r="675" spans="1:8" x14ac:dyDescent="0.25">
      <c r="D675" s="1">
        <v>6</v>
      </c>
      <c r="E675" s="1" t="s">
        <v>89</v>
      </c>
    </row>
    <row r="676" spans="1:8" x14ac:dyDescent="0.25">
      <c r="D676" s="1">
        <v>50000</v>
      </c>
      <c r="E676" s="1" t="s">
        <v>281</v>
      </c>
    </row>
    <row r="677" spans="1:8" x14ac:dyDescent="0.25">
      <c r="D677" s="1">
        <v>0</v>
      </c>
      <c r="E677" s="1" t="s">
        <v>91</v>
      </c>
    </row>
    <row r="678" spans="1:8" x14ac:dyDescent="0.25">
      <c r="D678" s="437">
        <f>FV(D674,D675,D677,D676,D679)</f>
        <v>-67004.782031249997</v>
      </c>
      <c r="E678" s="1" t="s">
        <v>105</v>
      </c>
    </row>
    <row r="679" spans="1:8" x14ac:dyDescent="0.25">
      <c r="D679" s="1">
        <v>0</v>
      </c>
      <c r="E679" s="1" t="s">
        <v>328</v>
      </c>
    </row>
    <row r="681" spans="1:8" x14ac:dyDescent="0.25">
      <c r="A681" s="1" t="s">
        <v>638</v>
      </c>
    </row>
    <row r="682" spans="1:8" x14ac:dyDescent="0.25">
      <c r="A682" s="1" t="s">
        <v>639</v>
      </c>
    </row>
    <row r="683" spans="1:8" x14ac:dyDescent="0.25">
      <c r="A683" s="1" t="s">
        <v>640</v>
      </c>
    </row>
    <row r="685" spans="1:8" x14ac:dyDescent="0.25">
      <c r="A685" s="2" t="s">
        <v>641</v>
      </c>
      <c r="B685" s="2"/>
      <c r="C685" s="2"/>
      <c r="D685" s="2"/>
      <c r="E685" s="2"/>
      <c r="F685" s="2"/>
      <c r="G685" s="2"/>
      <c r="H685" s="2"/>
    </row>
    <row r="686" spans="1:8" x14ac:dyDescent="0.25">
      <c r="A686" s="1" t="s">
        <v>642</v>
      </c>
    </row>
    <row r="688" spans="1:8" x14ac:dyDescent="0.25">
      <c r="A688" s="1" t="s">
        <v>643</v>
      </c>
    </row>
    <row r="689" spans="1:1" x14ac:dyDescent="0.25">
      <c r="A689" s="1" t="s">
        <v>644</v>
      </c>
    </row>
    <row r="690" spans="1:1" x14ac:dyDescent="0.25">
      <c r="A690" s="1" t="s">
        <v>645</v>
      </c>
    </row>
    <row r="691" spans="1:1" x14ac:dyDescent="0.25">
      <c r="A691" s="1" t="s">
        <v>646</v>
      </c>
    </row>
    <row r="692" spans="1:1" x14ac:dyDescent="0.25">
      <c r="A692" s="1" t="s">
        <v>647</v>
      </c>
    </row>
    <row r="694" spans="1:1" x14ac:dyDescent="0.25">
      <c r="A694" s="1" t="s">
        <v>648</v>
      </c>
    </row>
    <row r="696" spans="1:1" x14ac:dyDescent="0.25">
      <c r="A696" s="1" t="s">
        <v>649</v>
      </c>
    </row>
    <row r="697" spans="1:1" x14ac:dyDescent="0.25">
      <c r="A697" s="1" t="s">
        <v>650</v>
      </c>
    </row>
    <row r="698" spans="1:1" x14ac:dyDescent="0.25">
      <c r="A698" s="1" t="s">
        <v>651</v>
      </c>
    </row>
    <row r="700" spans="1:1" x14ac:dyDescent="0.25">
      <c r="A700" s="1" t="s">
        <v>652</v>
      </c>
    </row>
    <row r="701" spans="1:1" x14ac:dyDescent="0.25">
      <c r="A701" s="1" t="s">
        <v>653</v>
      </c>
    </row>
    <row r="702" spans="1:1" x14ac:dyDescent="0.25">
      <c r="A702" s="1" t="s">
        <v>654</v>
      </c>
    </row>
    <row r="703" spans="1:1" x14ac:dyDescent="0.25">
      <c r="A703" s="1" t="s">
        <v>655</v>
      </c>
    </row>
    <row r="705" spans="1:6" x14ac:dyDescent="0.25">
      <c r="C705" s="1" t="s">
        <v>656</v>
      </c>
      <c r="D705" s="1" t="s">
        <v>657</v>
      </c>
      <c r="E705" s="1" t="s">
        <v>658</v>
      </c>
    </row>
    <row r="706" spans="1:6" x14ac:dyDescent="0.25">
      <c r="C706" s="11">
        <v>4.0000000000000001E-3</v>
      </c>
      <c r="D706" s="5">
        <v>1.4999999999999999E-2</v>
      </c>
      <c r="E706" s="5">
        <v>0.01</v>
      </c>
      <c r="F706" s="1" t="s">
        <v>87</v>
      </c>
    </row>
    <row r="707" spans="1:6" x14ac:dyDescent="0.25">
      <c r="C707" s="1">
        <f>23*12</f>
        <v>276</v>
      </c>
      <c r="D707" s="1">
        <f>7*12</f>
        <v>84</v>
      </c>
      <c r="E707" s="1">
        <f>20*12</f>
        <v>240</v>
      </c>
      <c r="F707" s="1" t="s">
        <v>89</v>
      </c>
    </row>
    <row r="708" spans="1:6" x14ac:dyDescent="0.25">
      <c r="C708" s="437">
        <f>-D710</f>
        <v>-2458027.1252514864</v>
      </c>
      <c r="D708" s="437">
        <f>-E710</f>
        <v>-989255.36538736301</v>
      </c>
      <c r="E708" s="1">
        <v>0</v>
      </c>
      <c r="F708" s="1" t="s">
        <v>281</v>
      </c>
    </row>
    <row r="709" spans="1:6" x14ac:dyDescent="0.25">
      <c r="C709" s="1">
        <v>-3000</v>
      </c>
      <c r="D709" s="1">
        <v>6000</v>
      </c>
      <c r="E709" s="1">
        <v>-1000</v>
      </c>
      <c r="F709" s="1" t="s">
        <v>91</v>
      </c>
    </row>
    <row r="710" spans="1:6" x14ac:dyDescent="0.25">
      <c r="C710" s="438">
        <f>FV(C706,C707,C709,C708,C711)</f>
        <v>8904788.5576484557</v>
      </c>
      <c r="D710" s="437">
        <f>FV(D706,D707,D709,D708,D711)</f>
        <v>2458027.1252514864</v>
      </c>
      <c r="E710" s="437">
        <f>FV(E706,E707,E709,E708,E711)</f>
        <v>989255.36538736301</v>
      </c>
      <c r="F710" s="1" t="s">
        <v>105</v>
      </c>
    </row>
    <row r="711" spans="1:6" x14ac:dyDescent="0.25">
      <c r="C711" s="1">
        <v>0</v>
      </c>
      <c r="D711" s="1">
        <v>0</v>
      </c>
      <c r="E711" s="1">
        <v>0</v>
      </c>
      <c r="F711" s="1" t="s">
        <v>328</v>
      </c>
    </row>
    <row r="713" spans="1:6" x14ac:dyDescent="0.25">
      <c r="A713" s="1" t="s">
        <v>659</v>
      </c>
    </row>
  </sheetData>
  <mergeCells count="8">
    <mergeCell ref="C461:D461"/>
    <mergeCell ref="C462:D462"/>
    <mergeCell ref="B140:C140"/>
    <mergeCell ref="I195:J195"/>
    <mergeCell ref="A300:H300"/>
    <mergeCell ref="C452:D452"/>
    <mergeCell ref="C456:D456"/>
    <mergeCell ref="C457:D457"/>
  </mergeCells>
  <pageMargins left="0.7" right="0.7" top="0.75" bottom="0.75" header="0.3" footer="0.3"/>
  <pageSetup paperSize="9" scale="74" orientation="portrait" r:id="rId1"/>
  <rowBreaks count="8" manualBreakCount="8">
    <brk id="36" max="7" man="1"/>
    <brk id="56" max="7" man="1"/>
    <brk id="104" max="7" man="1"/>
    <brk id="136" max="7" man="1"/>
    <brk id="213" max="7" man="1"/>
    <brk id="270" max="7" man="1"/>
    <brk id="324" max="7" man="1"/>
    <brk id="367" max="7" man="1"/>
  </rowBreaks>
  <colBreaks count="1" manualBreakCount="1">
    <brk id="8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B3E37C-53A2-C449-B9EE-9A3CFCD91756}">
  <dimension ref="A1:J283"/>
  <sheetViews>
    <sheetView rightToLeft="1" topLeftCell="A133" zoomScale="160" zoomScaleNormal="250" workbookViewId="0">
      <selection activeCell="F241" sqref="F241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729" t="s">
        <v>2996</v>
      </c>
      <c r="B1" s="729"/>
      <c r="C1" s="729"/>
      <c r="D1" s="729"/>
      <c r="E1" s="729"/>
      <c r="F1" s="729"/>
      <c r="G1" s="729"/>
      <c r="H1" s="729"/>
    </row>
    <row r="3" spans="1:8" x14ac:dyDescent="0.2">
      <c r="A3" s="75" t="s">
        <v>660</v>
      </c>
      <c r="B3" s="75"/>
      <c r="C3" s="75"/>
      <c r="D3" s="75"/>
      <c r="E3" s="75"/>
      <c r="F3" s="75"/>
      <c r="G3" s="75"/>
      <c r="H3" s="75"/>
    </row>
    <row r="4" spans="1:8" x14ac:dyDescent="0.2">
      <c r="A4" s="43" t="s">
        <v>661</v>
      </c>
    </row>
    <row r="5" spans="1:8" x14ac:dyDescent="0.2">
      <c r="A5" s="43" t="s">
        <v>662</v>
      </c>
    </row>
    <row r="6" spans="1:8" x14ac:dyDescent="0.2">
      <c r="A6" s="43" t="s">
        <v>663</v>
      </c>
    </row>
    <row r="7" spans="1:8" x14ac:dyDescent="0.2">
      <c r="A7" s="43" t="s">
        <v>664</v>
      </c>
    </row>
    <row r="8" spans="1:8" x14ac:dyDescent="0.2">
      <c r="A8" s="43" t="s">
        <v>665</v>
      </c>
    </row>
    <row r="9" spans="1:8" x14ac:dyDescent="0.2">
      <c r="A9" s="43" t="s">
        <v>666</v>
      </c>
    </row>
    <row r="10" spans="1:8" x14ac:dyDescent="0.2">
      <c r="A10" s="43" t="s">
        <v>667</v>
      </c>
    </row>
    <row r="11" spans="1:8" x14ac:dyDescent="0.2">
      <c r="A11" s="43" t="s">
        <v>668</v>
      </c>
    </row>
    <row r="13" spans="1:8" x14ac:dyDescent="0.2">
      <c r="A13" s="43" t="s">
        <v>669</v>
      </c>
    </row>
    <row r="14" spans="1:8" x14ac:dyDescent="0.2">
      <c r="A14" s="43" t="s">
        <v>670</v>
      </c>
    </row>
    <row r="16" spans="1:8" x14ac:dyDescent="0.2">
      <c r="F16" s="43" t="s">
        <v>671</v>
      </c>
    </row>
    <row r="17" spans="1:8" x14ac:dyDescent="0.2">
      <c r="F17" s="43" t="s">
        <v>672</v>
      </c>
    </row>
    <row r="19" spans="1:8" x14ac:dyDescent="0.2">
      <c r="A19" s="43" t="s">
        <v>673</v>
      </c>
    </row>
    <row r="20" spans="1:8" x14ac:dyDescent="0.2">
      <c r="A20" s="43" t="s">
        <v>674</v>
      </c>
    </row>
    <row r="21" spans="1:8" x14ac:dyDescent="0.2">
      <c r="A21" s="43" t="s">
        <v>675</v>
      </c>
    </row>
    <row r="23" spans="1:8" x14ac:dyDescent="0.2">
      <c r="A23" s="45" t="s">
        <v>676</v>
      </c>
      <c r="B23" s="46"/>
      <c r="C23" s="46"/>
      <c r="D23" s="46"/>
      <c r="E23" s="46"/>
      <c r="F23" s="46"/>
      <c r="G23" s="46"/>
      <c r="H23" s="46"/>
    </row>
    <row r="24" spans="1:8" x14ac:dyDescent="0.2">
      <c r="A24" s="43" t="s">
        <v>677</v>
      </c>
    </row>
    <row r="25" spans="1:8" x14ac:dyDescent="0.2">
      <c r="A25" s="43" t="s">
        <v>678</v>
      </c>
    </row>
    <row r="26" spans="1:8" x14ac:dyDescent="0.2">
      <c r="A26" s="43" t="s">
        <v>679</v>
      </c>
    </row>
    <row r="28" spans="1:8" x14ac:dyDescent="0.2">
      <c r="A28" s="43" t="s">
        <v>680</v>
      </c>
    </row>
    <row r="29" spans="1:8" x14ac:dyDescent="0.2">
      <c r="A29" s="43" t="s">
        <v>681</v>
      </c>
      <c r="F29" s="43" t="s">
        <v>682</v>
      </c>
    </row>
    <row r="31" spans="1:8" x14ac:dyDescent="0.2">
      <c r="A31" s="44" t="s">
        <v>683</v>
      </c>
    </row>
    <row r="32" spans="1:8" x14ac:dyDescent="0.2">
      <c r="C32" s="78">
        <f>1000/(1+5%)^2</f>
        <v>907.02947845804988</v>
      </c>
      <c r="E32" s="43" t="str">
        <f ca="1">_xlfn.FORMULATEXT(C32)</f>
        <v>=1000/(1+5%)^2</v>
      </c>
      <c r="G32" s="43" t="s">
        <v>684</v>
      </c>
    </row>
    <row r="34" spans="1:8" x14ac:dyDescent="0.2">
      <c r="A34" s="44" t="s">
        <v>685</v>
      </c>
    </row>
    <row r="35" spans="1:8" x14ac:dyDescent="0.2">
      <c r="A35" s="43" t="s">
        <v>3000</v>
      </c>
      <c r="C35" s="439">
        <v>0.05</v>
      </c>
      <c r="D35" s="43" t="s">
        <v>87</v>
      </c>
      <c r="F35" s="43" t="s">
        <v>2997</v>
      </c>
    </row>
    <row r="36" spans="1:8" x14ac:dyDescent="0.2">
      <c r="A36" s="43" t="s">
        <v>3001</v>
      </c>
      <c r="C36" s="29">
        <v>2</v>
      </c>
      <c r="D36" s="43" t="s">
        <v>89</v>
      </c>
      <c r="F36" s="43" t="s">
        <v>2998</v>
      </c>
    </row>
    <row r="37" spans="1:8" x14ac:dyDescent="0.2">
      <c r="A37" s="43" t="s">
        <v>3003</v>
      </c>
      <c r="C37" s="29">
        <v>0</v>
      </c>
      <c r="D37" s="43" t="s">
        <v>91</v>
      </c>
      <c r="F37" s="43" t="s">
        <v>2999</v>
      </c>
    </row>
    <row r="38" spans="1:8" x14ac:dyDescent="0.2">
      <c r="A38" s="43" t="s">
        <v>3004</v>
      </c>
      <c r="C38" s="664">
        <f>PV(C35,C36,C37,C39)</f>
        <v>-907.02947845804988</v>
      </c>
      <c r="D38" s="43" t="s">
        <v>686</v>
      </c>
    </row>
    <row r="39" spans="1:8" x14ac:dyDescent="0.2">
      <c r="A39" s="43" t="s">
        <v>3002</v>
      </c>
      <c r="C39" s="29">
        <v>1000</v>
      </c>
      <c r="D39" s="43" t="s">
        <v>105</v>
      </c>
      <c r="F39" s="44" t="s">
        <v>3005</v>
      </c>
    </row>
    <row r="41" spans="1:8" x14ac:dyDescent="0.2">
      <c r="A41" s="45" t="s">
        <v>687</v>
      </c>
      <c r="B41" s="46"/>
      <c r="C41" s="46"/>
      <c r="D41" s="46"/>
      <c r="E41" s="46"/>
      <c r="F41" s="46"/>
      <c r="G41" s="46"/>
      <c r="H41" s="46"/>
    </row>
    <row r="42" spans="1:8" x14ac:dyDescent="0.2">
      <c r="A42" s="43" t="s">
        <v>3006</v>
      </c>
    </row>
    <row r="43" spans="1:8" x14ac:dyDescent="0.2">
      <c r="A43" s="43" t="s">
        <v>688</v>
      </c>
    </row>
    <row r="44" spans="1:8" x14ac:dyDescent="0.2">
      <c r="A44" s="43" t="s">
        <v>689</v>
      </c>
    </row>
    <row r="45" spans="1:8" x14ac:dyDescent="0.2">
      <c r="A45" s="43" t="s">
        <v>690</v>
      </c>
    </row>
    <row r="47" spans="1:8" x14ac:dyDescent="0.2">
      <c r="A47" s="43" t="s">
        <v>321</v>
      </c>
    </row>
    <row r="48" spans="1:8" x14ac:dyDescent="0.2">
      <c r="A48" s="43" t="s">
        <v>691</v>
      </c>
    </row>
    <row r="49" spans="1:8" x14ac:dyDescent="0.2">
      <c r="A49" s="43" t="s">
        <v>692</v>
      </c>
    </row>
    <row r="50" spans="1:8" x14ac:dyDescent="0.2">
      <c r="A50" s="43" t="s">
        <v>693</v>
      </c>
    </row>
    <row r="52" spans="1:8" x14ac:dyDescent="0.2">
      <c r="F52" s="43" t="s">
        <v>694</v>
      </c>
    </row>
    <row r="53" spans="1:8" x14ac:dyDescent="0.2">
      <c r="F53" s="43" t="s">
        <v>695</v>
      </c>
      <c r="G53" s="74">
        <f>4000/1.02^4</f>
        <v>3695.381704106057</v>
      </c>
    </row>
    <row r="54" spans="1:8" x14ac:dyDescent="0.2">
      <c r="F54" s="43" t="s">
        <v>696</v>
      </c>
      <c r="G54" s="43" t="s">
        <v>697</v>
      </c>
    </row>
    <row r="56" spans="1:8" x14ac:dyDescent="0.2">
      <c r="A56" s="79" t="s">
        <v>698</v>
      </c>
    </row>
    <row r="57" spans="1:8" x14ac:dyDescent="0.2">
      <c r="A57" s="44" t="s">
        <v>699</v>
      </c>
      <c r="B57" s="44"/>
      <c r="C57" s="44"/>
      <c r="D57" s="44"/>
      <c r="E57" s="44"/>
      <c r="F57" s="44"/>
      <c r="G57" s="44"/>
      <c r="H57" s="44"/>
    </row>
    <row r="58" spans="1:8" x14ac:dyDescent="0.2">
      <c r="A58" s="44" t="s">
        <v>700</v>
      </c>
      <c r="B58" s="44"/>
      <c r="C58" s="44"/>
      <c r="D58" s="44"/>
      <c r="E58" s="44"/>
      <c r="F58" s="44"/>
      <c r="G58" s="44"/>
      <c r="H58" s="44"/>
    </row>
    <row r="59" spans="1:8" ht="16" thickBot="1" x14ac:dyDescent="0.25"/>
    <row r="60" spans="1:8" x14ac:dyDescent="0.2">
      <c r="A60" s="321" t="s">
        <v>3007</v>
      </c>
      <c r="B60" s="212"/>
      <c r="C60" s="212"/>
      <c r="D60" s="212"/>
      <c r="E60" s="212"/>
      <c r="F60" s="212"/>
      <c r="G60" s="212"/>
      <c r="H60" s="213"/>
    </row>
    <row r="61" spans="1:8" x14ac:dyDescent="0.2">
      <c r="A61" s="320"/>
      <c r="H61" s="215"/>
    </row>
    <row r="62" spans="1:8" x14ac:dyDescent="0.2">
      <c r="A62" s="320"/>
      <c r="E62" s="43" t="s">
        <v>3008</v>
      </c>
      <c r="H62" s="215"/>
    </row>
    <row r="63" spans="1:8" x14ac:dyDescent="0.2">
      <c r="A63" s="320"/>
      <c r="H63" s="215"/>
    </row>
    <row r="64" spans="1:8" ht="16" thickBot="1" x14ac:dyDescent="0.25">
      <c r="A64" s="234" t="s">
        <v>3009</v>
      </c>
      <c r="B64" s="217"/>
      <c r="C64" s="217"/>
      <c r="D64" s="217"/>
      <c r="E64" s="217"/>
      <c r="F64" s="217"/>
      <c r="G64" s="217"/>
      <c r="H64" s="218"/>
    </row>
    <row r="66" spans="1:5" x14ac:dyDescent="0.2">
      <c r="A66" s="43" t="s">
        <v>3010</v>
      </c>
    </row>
    <row r="68" spans="1:5" x14ac:dyDescent="0.2">
      <c r="A68" s="43" t="s">
        <v>3011</v>
      </c>
    </row>
    <row r="70" spans="1:5" x14ac:dyDescent="0.2">
      <c r="B70" s="54">
        <v>0.02</v>
      </c>
      <c r="C70" s="43" t="s">
        <v>87</v>
      </c>
      <c r="D70" s="43" t="s">
        <v>2518</v>
      </c>
    </row>
    <row r="71" spans="1:5" x14ac:dyDescent="0.2">
      <c r="B71" s="47">
        <v>4</v>
      </c>
      <c r="C71" s="43" t="s">
        <v>89</v>
      </c>
      <c r="D71" s="43" t="s">
        <v>3013</v>
      </c>
    </row>
    <row r="72" spans="1:5" x14ac:dyDescent="0.2">
      <c r="B72" s="47">
        <v>0</v>
      </c>
      <c r="C72" s="43" t="s">
        <v>91</v>
      </c>
      <c r="D72" s="43" t="s">
        <v>3014</v>
      </c>
    </row>
    <row r="73" spans="1:5" x14ac:dyDescent="0.2">
      <c r="B73" s="446">
        <f>PV(B70,B71,B72,B74)</f>
        <v>3695.381704106057</v>
      </c>
      <c r="C73" s="43" t="s">
        <v>686</v>
      </c>
    </row>
    <row r="74" spans="1:5" x14ac:dyDescent="0.2">
      <c r="B74" s="47">
        <v>-4000</v>
      </c>
      <c r="C74" s="43" t="s">
        <v>105</v>
      </c>
      <c r="D74" s="43" t="s">
        <v>3012</v>
      </c>
    </row>
    <row r="75" spans="1:5" x14ac:dyDescent="0.2">
      <c r="B75" s="665" t="s">
        <v>3015</v>
      </c>
      <c r="C75" s="43" t="s">
        <v>95</v>
      </c>
      <c r="D75" s="43" t="s">
        <v>3016</v>
      </c>
    </row>
    <row r="77" spans="1:5" x14ac:dyDescent="0.2">
      <c r="A77" s="43" t="s">
        <v>3017</v>
      </c>
      <c r="E77" s="76"/>
    </row>
    <row r="78" spans="1:5" x14ac:dyDescent="0.2">
      <c r="A78" s="43" t="s">
        <v>3018</v>
      </c>
      <c r="E78" s="76"/>
    </row>
    <row r="80" spans="1:5" x14ac:dyDescent="0.2">
      <c r="A80" s="79" t="s">
        <v>3019</v>
      </c>
    </row>
    <row r="81" spans="1:8" x14ac:dyDescent="0.2">
      <c r="A81" s="288" t="s">
        <v>3020</v>
      </c>
    </row>
    <row r="82" spans="1:8" x14ac:dyDescent="0.2">
      <c r="A82" s="288" t="s">
        <v>3021</v>
      </c>
    </row>
    <row r="83" spans="1:8" x14ac:dyDescent="0.2">
      <c r="A83" s="79"/>
    </row>
    <row r="84" spans="1:8" x14ac:dyDescent="0.2">
      <c r="A84" s="79"/>
      <c r="B84" s="43" t="s">
        <v>3022</v>
      </c>
      <c r="F84" s="43">
        <f>4000*0.95</f>
        <v>3800</v>
      </c>
      <c r="H84" s="43" t="s">
        <v>701</v>
      </c>
    </row>
    <row r="85" spans="1:8" x14ac:dyDescent="0.2">
      <c r="A85" s="79"/>
      <c r="B85" s="43" t="s">
        <v>3023</v>
      </c>
      <c r="E85" s="76"/>
      <c r="F85" s="55">
        <f>B73</f>
        <v>3695.381704106057</v>
      </c>
      <c r="G85" s="43" t="s">
        <v>3024</v>
      </c>
    </row>
    <row r="86" spans="1:8" x14ac:dyDescent="0.2">
      <c r="A86" s="79"/>
      <c r="E86" s="76"/>
    </row>
    <row r="87" spans="1:8" x14ac:dyDescent="0.2">
      <c r="B87" s="44" t="s">
        <v>3025</v>
      </c>
    </row>
    <row r="88" spans="1:8" ht="16" thickBot="1" x14ac:dyDescent="0.25"/>
    <row r="89" spans="1:8" x14ac:dyDescent="0.2">
      <c r="A89" s="211" t="s">
        <v>3026</v>
      </c>
      <c r="B89" s="212"/>
      <c r="C89" s="212"/>
      <c r="D89" s="212"/>
      <c r="E89" s="212"/>
      <c r="F89" s="212"/>
      <c r="G89" s="212"/>
      <c r="H89" s="213"/>
    </row>
    <row r="90" spans="1:8" x14ac:dyDescent="0.2">
      <c r="A90" s="320" t="s">
        <v>3027</v>
      </c>
      <c r="H90" s="215"/>
    </row>
    <row r="91" spans="1:8" x14ac:dyDescent="0.2">
      <c r="A91" s="320"/>
      <c r="B91" s="43" t="s">
        <v>3028</v>
      </c>
      <c r="H91" s="215"/>
    </row>
    <row r="92" spans="1:8" x14ac:dyDescent="0.2">
      <c r="A92" s="320"/>
      <c r="B92" s="43" t="s">
        <v>3029</v>
      </c>
      <c r="H92" s="215"/>
    </row>
    <row r="93" spans="1:8" x14ac:dyDescent="0.2">
      <c r="A93" s="320"/>
      <c r="B93" s="43" t="s">
        <v>3030</v>
      </c>
      <c r="H93" s="215"/>
    </row>
    <row r="94" spans="1:8" x14ac:dyDescent="0.2">
      <c r="A94" s="320"/>
      <c r="H94" s="215"/>
    </row>
    <row r="95" spans="1:8" x14ac:dyDescent="0.2">
      <c r="A95" s="320" t="s">
        <v>3032</v>
      </c>
      <c r="B95" s="43" t="s">
        <v>3031</v>
      </c>
      <c r="H95" s="215"/>
    </row>
    <row r="96" spans="1:8" x14ac:dyDescent="0.2">
      <c r="A96" s="320"/>
      <c r="H96" s="215"/>
    </row>
    <row r="97" spans="1:8" x14ac:dyDescent="0.2">
      <c r="A97" s="320" t="s">
        <v>3032</v>
      </c>
      <c r="B97" s="43" t="s">
        <v>3033</v>
      </c>
      <c r="H97" s="215"/>
    </row>
    <row r="98" spans="1:8" ht="16" thickBot="1" x14ac:dyDescent="0.25">
      <c r="A98" s="234"/>
      <c r="B98" s="217"/>
      <c r="C98" s="217"/>
      <c r="D98" s="217" t="s">
        <v>3034</v>
      </c>
      <c r="E98" s="217"/>
      <c r="F98" s="217"/>
      <c r="G98" s="217"/>
      <c r="H98" s="218"/>
    </row>
    <row r="100" spans="1:8" x14ac:dyDescent="0.2">
      <c r="A100" s="45" t="s">
        <v>702</v>
      </c>
      <c r="B100" s="46"/>
      <c r="C100" s="46"/>
      <c r="D100" s="46"/>
      <c r="E100" s="46"/>
      <c r="F100" s="46"/>
      <c r="G100" s="46"/>
      <c r="H100" s="46"/>
    </row>
    <row r="101" spans="1:8" x14ac:dyDescent="0.2">
      <c r="A101" s="43" t="s">
        <v>703</v>
      </c>
    </row>
    <row r="102" spans="1:8" x14ac:dyDescent="0.2">
      <c r="A102" s="43" t="s">
        <v>704</v>
      </c>
    </row>
    <row r="103" spans="1:8" x14ac:dyDescent="0.2">
      <c r="A103" s="43" t="s">
        <v>705</v>
      </c>
    </row>
    <row r="104" spans="1:8" x14ac:dyDescent="0.2">
      <c r="A104" s="43" t="s">
        <v>706</v>
      </c>
    </row>
    <row r="105" spans="1:8" x14ac:dyDescent="0.2">
      <c r="A105" s="43" t="s">
        <v>707</v>
      </c>
    </row>
    <row r="107" spans="1:8" x14ac:dyDescent="0.2">
      <c r="A107" s="43" t="s">
        <v>708</v>
      </c>
    </row>
    <row r="108" spans="1:8" x14ac:dyDescent="0.2">
      <c r="A108" s="43" t="s">
        <v>709</v>
      </c>
    </row>
    <row r="109" spans="1:8" x14ac:dyDescent="0.2">
      <c r="A109" s="43" t="s">
        <v>710</v>
      </c>
    </row>
    <row r="111" spans="1:8" x14ac:dyDescent="0.2">
      <c r="F111" s="43" t="s">
        <v>694</v>
      </c>
      <c r="H111" s="74">
        <f>2000/1.07+4000/(1.07*1.09)+5000/(1.07*1.09*1.11)+7000/(1.07*1.09*1.11*1.13)</f>
        <v>13946.074376647117</v>
      </c>
    </row>
    <row r="113" spans="1:10" x14ac:dyDescent="0.2">
      <c r="A113" s="44" t="s">
        <v>711</v>
      </c>
    </row>
    <row r="114" spans="1:10" x14ac:dyDescent="0.2">
      <c r="A114" s="43" t="s">
        <v>712</v>
      </c>
    </row>
    <row r="115" spans="1:10" x14ac:dyDescent="0.2">
      <c r="A115" s="43" t="s">
        <v>713</v>
      </c>
    </row>
    <row r="116" spans="1:10" x14ac:dyDescent="0.2">
      <c r="J116" s="47" t="s">
        <v>3035</v>
      </c>
    </row>
    <row r="117" spans="1:10" ht="16" thickBot="1" x14ac:dyDescent="0.25">
      <c r="A117" s="49" t="s">
        <v>714</v>
      </c>
      <c r="B117" s="442" t="s">
        <v>715</v>
      </c>
      <c r="C117" s="49" t="s">
        <v>716</v>
      </c>
      <c r="D117" s="47" t="s">
        <v>717</v>
      </c>
      <c r="H117" s="288" t="s">
        <v>718</v>
      </c>
    </row>
    <row r="118" spans="1:10" x14ac:dyDescent="0.2">
      <c r="A118" s="47">
        <v>1</v>
      </c>
      <c r="B118" s="29">
        <v>2000</v>
      </c>
      <c r="C118" s="439">
        <v>7.0000000000000007E-2</v>
      </c>
      <c r="D118" s="443">
        <f>B118/(1+C118)</f>
        <v>1869.1588785046729</v>
      </c>
      <c r="E118" s="441"/>
      <c r="H118" s="43" t="str">
        <f ca="1">_xlfn.FORMULATEXT(D118)</f>
        <v>=B118/(1+C118)</v>
      </c>
    </row>
    <row r="119" spans="1:10" x14ac:dyDescent="0.2">
      <c r="A119" s="47">
        <v>2</v>
      </c>
      <c r="B119" s="29">
        <v>4000</v>
      </c>
      <c r="C119" s="439">
        <v>0.09</v>
      </c>
      <c r="D119" s="444">
        <f>B119/((1+C119)*(1+C118))</f>
        <v>3429.6493183571974</v>
      </c>
      <c r="E119" s="441"/>
      <c r="H119" s="43" t="str">
        <f ca="1">_xlfn.FORMULATEXT(D119)</f>
        <v>=B119/((1+C119)*(1+C118))</v>
      </c>
    </row>
    <row r="120" spans="1:10" x14ac:dyDescent="0.2">
      <c r="A120" s="47">
        <v>3</v>
      </c>
      <c r="B120" s="29">
        <v>5000</v>
      </c>
      <c r="C120" s="439">
        <v>0.11</v>
      </c>
      <c r="D120" s="444">
        <f>B120/((1+C120)*(1+C119)*(1+C118))</f>
        <v>3862.2177008526996</v>
      </c>
      <c r="E120" s="441"/>
      <c r="H120" s="43" t="str">
        <f ca="1">_xlfn.FORMULATEXT(D120)</f>
        <v>=B120/((1+C120)*(1+C119)*(1+C118))</v>
      </c>
    </row>
    <row r="121" spans="1:10" ht="16" thickBot="1" x14ac:dyDescent="0.25">
      <c r="A121" s="47">
        <v>4</v>
      </c>
      <c r="B121" s="29">
        <v>7000</v>
      </c>
      <c r="C121" s="439">
        <v>0.13</v>
      </c>
      <c r="D121" s="445">
        <f>B121/((1+C121)*(1+C120)*(1+C119)*(1+C118))</f>
        <v>4785.0484789325483</v>
      </c>
      <c r="E121" s="441"/>
      <c r="H121" s="43" t="str">
        <f ca="1">_xlfn.FORMULATEXT(D121)</f>
        <v>=B121/((1+C121)*(1+C120)*(1+C119)*(1+C118))</v>
      </c>
    </row>
    <row r="122" spans="1:10" x14ac:dyDescent="0.2">
      <c r="B122" s="441"/>
      <c r="C122" s="441"/>
      <c r="D122" s="288"/>
      <c r="E122" s="441"/>
    </row>
    <row r="123" spans="1:10" x14ac:dyDescent="0.2">
      <c r="B123" s="288" t="s">
        <v>719</v>
      </c>
      <c r="C123" s="441"/>
      <c r="D123" s="440">
        <f>SUM(D118:D121)</f>
        <v>13946.074376647117</v>
      </c>
      <c r="E123" s="441" t="s">
        <v>720</v>
      </c>
      <c r="I123" s="43" t="s">
        <v>3037</v>
      </c>
      <c r="J123" s="43" t="s">
        <v>3036</v>
      </c>
    </row>
    <row r="125" spans="1:10" x14ac:dyDescent="0.2">
      <c r="A125" s="44" t="s">
        <v>721</v>
      </c>
    </row>
    <row r="126" spans="1:10" x14ac:dyDescent="0.2">
      <c r="A126" s="43" t="s">
        <v>3038</v>
      </c>
    </row>
    <row r="127" spans="1:10" x14ac:dyDescent="0.2">
      <c r="A127" s="43" t="s">
        <v>3039</v>
      </c>
    </row>
    <row r="129" spans="1:8" x14ac:dyDescent="0.2">
      <c r="B129" s="47" t="s">
        <v>722</v>
      </c>
      <c r="C129" s="47" t="s">
        <v>723</v>
      </c>
      <c r="D129" s="47" t="s">
        <v>724</v>
      </c>
      <c r="E129" s="47" t="s">
        <v>725</v>
      </c>
    </row>
    <row r="130" spans="1:8" x14ac:dyDescent="0.2">
      <c r="B130" s="47" t="s">
        <v>726</v>
      </c>
      <c r="C130" s="47" t="s">
        <v>155</v>
      </c>
      <c r="D130" s="47" t="s">
        <v>154</v>
      </c>
      <c r="E130" s="47" t="s">
        <v>727</v>
      </c>
    </row>
    <row r="131" spans="1:8" x14ac:dyDescent="0.2">
      <c r="B131" s="54">
        <v>7.0000000000000007E-2</v>
      </c>
      <c r="C131" s="54">
        <v>0.09</v>
      </c>
      <c r="D131" s="54">
        <v>0.11</v>
      </c>
      <c r="E131" s="54">
        <f>C121</f>
        <v>0.13</v>
      </c>
      <c r="F131" s="43" t="s">
        <v>87</v>
      </c>
    </row>
    <row r="132" spans="1:8" x14ac:dyDescent="0.2">
      <c r="B132" s="47">
        <v>1</v>
      </c>
      <c r="C132" s="47">
        <v>1</v>
      </c>
      <c r="D132" s="47">
        <v>1</v>
      </c>
      <c r="E132" s="47">
        <v>1</v>
      </c>
      <c r="F132" s="43" t="s">
        <v>89</v>
      </c>
    </row>
    <row r="133" spans="1:8" x14ac:dyDescent="0.2">
      <c r="B133" s="47">
        <v>0</v>
      </c>
      <c r="C133" s="47">
        <v>0</v>
      </c>
      <c r="D133" s="47">
        <v>0</v>
      </c>
      <c r="E133" s="47">
        <v>0</v>
      </c>
      <c r="F133" s="43" t="s">
        <v>91</v>
      </c>
    </row>
    <row r="134" spans="1:8" x14ac:dyDescent="0.2">
      <c r="B134" s="451">
        <f>PV(B131,B132,B133,B135)</f>
        <v>-13946.074376647119</v>
      </c>
      <c r="C134" s="448">
        <f>PV(C131,C132,C133,C135)</f>
        <v>-12922.299583012418</v>
      </c>
      <c r="D134" s="449">
        <f>PV(D131,D132,D133,D135)</f>
        <v>-10085.306545483536</v>
      </c>
      <c r="E134" s="245">
        <f>PV(E131,E132,E133,E135)</f>
        <v>-6194.6902654867263</v>
      </c>
      <c r="F134" s="43" t="s">
        <v>281</v>
      </c>
    </row>
    <row r="135" spans="1:8" x14ac:dyDescent="0.2">
      <c r="A135" s="44" t="s">
        <v>728</v>
      </c>
      <c r="B135" s="450">
        <f>-C134+B118</f>
        <v>14922.299583012418</v>
      </c>
      <c r="C135" s="447">
        <f>-D134+B119</f>
        <v>14085.306545483536</v>
      </c>
      <c r="D135" s="446">
        <f>-E134+B120</f>
        <v>11194.690265486726</v>
      </c>
      <c r="E135" s="47">
        <f>B121</f>
        <v>7000</v>
      </c>
      <c r="F135" s="43" t="s">
        <v>105</v>
      </c>
    </row>
    <row r="136" spans="1:8" x14ac:dyDescent="0.2">
      <c r="B136" s="204"/>
      <c r="C136" s="204"/>
      <c r="D136" s="204"/>
      <c r="E136" s="204"/>
      <c r="F136" s="43" t="s">
        <v>328</v>
      </c>
    </row>
    <row r="140" spans="1:8" x14ac:dyDescent="0.2">
      <c r="A140" s="45" t="s">
        <v>729</v>
      </c>
      <c r="B140" s="46"/>
      <c r="C140" s="46"/>
      <c r="D140" s="46"/>
      <c r="E140" s="46"/>
      <c r="F140" s="46"/>
      <c r="G140" s="46"/>
      <c r="H140" s="46"/>
    </row>
    <row r="141" spans="1:8" x14ac:dyDescent="0.2">
      <c r="A141" s="43" t="s">
        <v>730</v>
      </c>
    </row>
    <row r="142" spans="1:8" x14ac:dyDescent="0.2">
      <c r="A142" s="43" t="s">
        <v>731</v>
      </c>
    </row>
    <row r="144" spans="1:8" x14ac:dyDescent="0.2">
      <c r="A144" s="43" t="s">
        <v>732</v>
      </c>
    </row>
    <row r="146" spans="1:8" x14ac:dyDescent="0.2">
      <c r="A146" s="44" t="s">
        <v>3040</v>
      </c>
    </row>
    <row r="148" spans="1:8" x14ac:dyDescent="0.2">
      <c r="F148" s="43" t="s">
        <v>694</v>
      </c>
      <c r="H148" s="74">
        <v>32345</v>
      </c>
    </row>
    <row r="150" spans="1:8" x14ac:dyDescent="0.2">
      <c r="A150" s="80" t="s">
        <v>564</v>
      </c>
      <c r="B150" s="80" t="s">
        <v>115</v>
      </c>
    </row>
    <row r="151" spans="1:8" x14ac:dyDescent="0.2">
      <c r="A151" s="80" t="s">
        <v>733</v>
      </c>
      <c r="B151" s="80" t="s">
        <v>734</v>
      </c>
    </row>
    <row r="152" spans="1:8" x14ac:dyDescent="0.2">
      <c r="A152" s="80">
        <v>1</v>
      </c>
      <c r="B152" s="80"/>
    </row>
    <row r="153" spans="1:8" x14ac:dyDescent="0.2">
      <c r="A153" s="81" t="s">
        <v>735</v>
      </c>
      <c r="B153" s="81">
        <v>36000</v>
      </c>
      <c r="D153" s="43" t="s">
        <v>3041</v>
      </c>
    </row>
    <row r="154" spans="1:8" x14ac:dyDescent="0.2">
      <c r="A154" s="81">
        <v>3</v>
      </c>
      <c r="B154" s="81"/>
      <c r="D154" s="43" t="s">
        <v>3042</v>
      </c>
    </row>
    <row r="155" spans="1:8" x14ac:dyDescent="0.2">
      <c r="A155" s="82" t="s">
        <v>736</v>
      </c>
      <c r="B155" s="81">
        <v>40068</v>
      </c>
      <c r="D155" s="43" t="s">
        <v>3043</v>
      </c>
    </row>
    <row r="157" spans="1:8" x14ac:dyDescent="0.2">
      <c r="A157" s="43" t="s">
        <v>737</v>
      </c>
    </row>
    <row r="158" spans="1:8" x14ac:dyDescent="0.2">
      <c r="A158" s="43" t="s">
        <v>738</v>
      </c>
    </row>
    <row r="159" spans="1:8" x14ac:dyDescent="0.2">
      <c r="D159" s="452" t="s">
        <v>739</v>
      </c>
    </row>
    <row r="160" spans="1:8" ht="16" thickBot="1" x14ac:dyDescent="0.25"/>
    <row r="161" spans="1:7" x14ac:dyDescent="0.2">
      <c r="C161" s="47">
        <v>4</v>
      </c>
      <c r="E161" s="47">
        <v>2</v>
      </c>
      <c r="G161" s="453">
        <v>0</v>
      </c>
    </row>
    <row r="162" spans="1:7" x14ac:dyDescent="0.2">
      <c r="E162" s="47"/>
      <c r="G162" s="454"/>
    </row>
    <row r="163" spans="1:7" ht="16" thickBot="1" x14ac:dyDescent="0.25">
      <c r="C163" s="48">
        <f>B155</f>
        <v>40068</v>
      </c>
      <c r="E163" s="48">
        <v>36000</v>
      </c>
      <c r="G163" s="455" t="s">
        <v>740</v>
      </c>
    </row>
    <row r="164" spans="1:7" x14ac:dyDescent="0.2">
      <c r="C164" s="47" t="s">
        <v>741</v>
      </c>
      <c r="E164" s="47" t="s">
        <v>741</v>
      </c>
    </row>
    <row r="167" spans="1:7" x14ac:dyDescent="0.2">
      <c r="C167" s="666">
        <f>RATE(C168,C169,C170,C171)</f>
        <v>5.4988151592319838E-2</v>
      </c>
      <c r="D167" s="43" t="s">
        <v>87</v>
      </c>
      <c r="E167" s="43" t="s">
        <v>742</v>
      </c>
    </row>
    <row r="168" spans="1:7" x14ac:dyDescent="0.2">
      <c r="C168" s="47">
        <v>2</v>
      </c>
      <c r="D168" s="43" t="s">
        <v>89</v>
      </c>
      <c r="E168" s="43" t="s">
        <v>743</v>
      </c>
    </row>
    <row r="169" spans="1:7" x14ac:dyDescent="0.2">
      <c r="C169" s="47">
        <v>0</v>
      </c>
      <c r="D169" s="43" t="s">
        <v>91</v>
      </c>
      <c r="E169" s="43" t="s">
        <v>3044</v>
      </c>
    </row>
    <row r="170" spans="1:7" x14ac:dyDescent="0.2">
      <c r="C170" s="47">
        <f>-B153</f>
        <v>-36000</v>
      </c>
      <c r="D170" s="43" t="s">
        <v>281</v>
      </c>
      <c r="E170" s="43" t="s">
        <v>3046</v>
      </c>
    </row>
    <row r="171" spans="1:7" x14ac:dyDescent="0.2">
      <c r="C171" s="47">
        <f>B155</f>
        <v>40068</v>
      </c>
      <c r="D171" s="43" t="s">
        <v>105</v>
      </c>
      <c r="E171" s="43" t="s">
        <v>3045</v>
      </c>
    </row>
    <row r="173" spans="1:7" x14ac:dyDescent="0.2">
      <c r="A173" s="44" t="s">
        <v>744</v>
      </c>
    </row>
    <row r="175" spans="1:7" x14ac:dyDescent="0.2">
      <c r="C175" s="83">
        <f>C167</f>
        <v>5.4988151592319838E-2</v>
      </c>
      <c r="D175" s="43" t="s">
        <v>87</v>
      </c>
    </row>
    <row r="176" spans="1:7" x14ac:dyDescent="0.2">
      <c r="C176" s="47">
        <v>2</v>
      </c>
      <c r="D176" s="43" t="s">
        <v>89</v>
      </c>
      <c r="E176" s="43" t="s">
        <v>745</v>
      </c>
    </row>
    <row r="177" spans="1:8" x14ac:dyDescent="0.2">
      <c r="C177" s="47">
        <v>0</v>
      </c>
      <c r="D177" s="43" t="s">
        <v>91</v>
      </c>
    </row>
    <row r="178" spans="1:8" x14ac:dyDescent="0.2">
      <c r="C178" s="84">
        <f>PV(C175,C176,C177,C179)</f>
        <v>-32345.013477083729</v>
      </c>
      <c r="D178" s="43" t="s">
        <v>281</v>
      </c>
      <c r="E178" s="43" t="s">
        <v>728</v>
      </c>
    </row>
    <row r="179" spans="1:8" x14ac:dyDescent="0.2">
      <c r="C179" s="47">
        <v>36000</v>
      </c>
      <c r="D179" s="43" t="s">
        <v>105</v>
      </c>
      <c r="E179" s="43" t="s">
        <v>746</v>
      </c>
    </row>
    <row r="180" spans="1:8" x14ac:dyDescent="0.2">
      <c r="C180" s="47"/>
    </row>
    <row r="181" spans="1:8" x14ac:dyDescent="0.2">
      <c r="A181" s="43" t="s">
        <v>747</v>
      </c>
      <c r="C181" s="47"/>
    </row>
    <row r="182" spans="1:8" x14ac:dyDescent="0.2">
      <c r="C182" s="47"/>
    </row>
    <row r="183" spans="1:8" x14ac:dyDescent="0.2">
      <c r="A183" s="44" t="s">
        <v>3047</v>
      </c>
      <c r="C183" s="47"/>
    </row>
    <row r="185" spans="1:8" x14ac:dyDescent="0.2">
      <c r="A185" s="45" t="s">
        <v>3048</v>
      </c>
      <c r="B185" s="45"/>
      <c r="C185" s="45"/>
      <c r="D185" s="45"/>
      <c r="E185" s="45"/>
      <c r="F185" s="45"/>
      <c r="G185" s="45"/>
      <c r="H185" s="45"/>
    </row>
    <row r="186" spans="1:8" x14ac:dyDescent="0.2">
      <c r="A186" s="43" t="s">
        <v>3049</v>
      </c>
    </row>
    <row r="187" spans="1:8" x14ac:dyDescent="0.2">
      <c r="A187" s="43" t="s">
        <v>3050</v>
      </c>
    </row>
    <row r="188" spans="1:8" x14ac:dyDescent="0.2">
      <c r="A188" s="43" t="s">
        <v>3051</v>
      </c>
    </row>
    <row r="190" spans="1:8" x14ac:dyDescent="0.2">
      <c r="D190" s="47" t="s">
        <v>3056</v>
      </c>
      <c r="E190" s="47" t="s">
        <v>3052</v>
      </c>
    </row>
    <row r="191" spans="1:8" x14ac:dyDescent="0.2">
      <c r="D191" s="47" t="s">
        <v>3057</v>
      </c>
      <c r="E191" s="47" t="s">
        <v>3053</v>
      </c>
    </row>
    <row r="192" spans="1:8" x14ac:dyDescent="0.2">
      <c r="D192" s="47" t="s">
        <v>3058</v>
      </c>
      <c r="E192" s="47" t="s">
        <v>3054</v>
      </c>
    </row>
    <row r="193" spans="1:8" x14ac:dyDescent="0.2">
      <c r="D193" s="49" t="s">
        <v>3059</v>
      </c>
      <c r="E193" s="49" t="s">
        <v>3055</v>
      </c>
    </row>
    <row r="194" spans="1:8" x14ac:dyDescent="0.2">
      <c r="D194" s="667">
        <f>E194</f>
        <v>8.4109719968686047E-2</v>
      </c>
      <c r="E194" s="667">
        <f>RATE(E195,E196,E197,E198)</f>
        <v>8.4109719968686047E-2</v>
      </c>
      <c r="F194" s="43" t="s">
        <v>87</v>
      </c>
    </row>
    <row r="195" spans="1:8" x14ac:dyDescent="0.2">
      <c r="D195" s="47">
        <v>4</v>
      </c>
      <c r="E195" s="47">
        <v>7</v>
      </c>
      <c r="F195" s="43" t="s">
        <v>89</v>
      </c>
    </row>
    <row r="196" spans="1:8" x14ac:dyDescent="0.2">
      <c r="D196" s="47">
        <v>0</v>
      </c>
      <c r="E196" s="47">
        <v>0</v>
      </c>
      <c r="F196" s="43" t="s">
        <v>91</v>
      </c>
    </row>
    <row r="197" spans="1:8" x14ac:dyDescent="0.2">
      <c r="A197" s="43" t="s">
        <v>3060</v>
      </c>
      <c r="D197" s="150">
        <f>PV(D194,D195,D196,D198)</f>
        <v>-180986.86427173342</v>
      </c>
      <c r="E197" s="48">
        <v>-250000</v>
      </c>
      <c r="F197" s="43" t="s">
        <v>281</v>
      </c>
    </row>
    <row r="198" spans="1:8" x14ac:dyDescent="0.2">
      <c r="A198" s="43" t="s">
        <v>3061</v>
      </c>
      <c r="D198" s="48">
        <f>250000</f>
        <v>250000</v>
      </c>
      <c r="E198" s="48">
        <v>440000</v>
      </c>
      <c r="F198" s="43" t="s">
        <v>105</v>
      </c>
    </row>
    <row r="204" spans="1:8" x14ac:dyDescent="0.2">
      <c r="A204" s="45" t="s">
        <v>748</v>
      </c>
      <c r="B204" s="46"/>
      <c r="C204" s="46"/>
      <c r="D204" s="46"/>
      <c r="E204" s="46"/>
      <c r="F204" s="46"/>
      <c r="G204" s="46"/>
      <c r="H204" s="46"/>
    </row>
    <row r="205" spans="1:8" x14ac:dyDescent="0.2">
      <c r="A205" s="43" t="s">
        <v>749</v>
      </c>
    </row>
    <row r="206" spans="1:8" x14ac:dyDescent="0.2">
      <c r="A206" s="43" t="s">
        <v>750</v>
      </c>
    </row>
    <row r="207" spans="1:8" x14ac:dyDescent="0.2">
      <c r="A207" s="43" t="s">
        <v>751</v>
      </c>
    </row>
    <row r="209" spans="1:8" x14ac:dyDescent="0.2">
      <c r="F209" s="43" t="s">
        <v>694</v>
      </c>
      <c r="H209" s="74">
        <v>14260</v>
      </c>
    </row>
    <row r="211" spans="1:8" x14ac:dyDescent="0.2">
      <c r="C211" s="54">
        <v>7.0000000000000007E-2</v>
      </c>
      <c r="D211" s="47" t="s">
        <v>87</v>
      </c>
    </row>
    <row r="212" spans="1:8" x14ac:dyDescent="0.2">
      <c r="C212" s="47">
        <v>5</v>
      </c>
      <c r="D212" s="47" t="s">
        <v>89</v>
      </c>
    </row>
    <row r="213" spans="1:8" x14ac:dyDescent="0.2">
      <c r="C213" s="47">
        <v>0</v>
      </c>
      <c r="D213" s="47" t="s">
        <v>91</v>
      </c>
    </row>
    <row r="214" spans="1:8" x14ac:dyDescent="0.2">
      <c r="C214" s="84">
        <f>PV(C211,C212,C213,C215)</f>
        <v>-14259.723589673367</v>
      </c>
      <c r="D214" s="47" t="s">
        <v>281</v>
      </c>
    </row>
    <row r="215" spans="1:8" x14ac:dyDescent="0.2">
      <c r="C215" s="47">
        <v>20000</v>
      </c>
      <c r="D215" s="47" t="s">
        <v>105</v>
      </c>
    </row>
    <row r="217" spans="1:8" x14ac:dyDescent="0.2">
      <c r="A217" s="43" t="s">
        <v>752</v>
      </c>
    </row>
    <row r="219" spans="1:8" x14ac:dyDescent="0.2">
      <c r="A219" s="45" t="s">
        <v>2995</v>
      </c>
      <c r="B219" s="46"/>
      <c r="C219" s="46"/>
      <c r="D219" s="46"/>
      <c r="E219" s="46"/>
      <c r="F219" s="46"/>
      <c r="G219" s="46"/>
      <c r="H219" s="46"/>
    </row>
    <row r="220" spans="1:8" x14ac:dyDescent="0.2">
      <c r="A220" s="43" t="s">
        <v>753</v>
      </c>
    </row>
    <row r="222" spans="1:8" x14ac:dyDescent="0.2">
      <c r="A222" s="43" t="s">
        <v>754</v>
      </c>
      <c r="B222" s="43" t="s">
        <v>755</v>
      </c>
    </row>
    <row r="223" spans="1:8" x14ac:dyDescent="0.2">
      <c r="B223" s="43" t="s">
        <v>756</v>
      </c>
    </row>
    <row r="225" spans="1:9" x14ac:dyDescent="0.2">
      <c r="A225" s="43" t="s">
        <v>757</v>
      </c>
      <c r="B225" s="43" t="s">
        <v>758</v>
      </c>
    </row>
    <row r="227" spans="1:9" x14ac:dyDescent="0.2">
      <c r="A227" s="43" t="s">
        <v>759</v>
      </c>
    </row>
    <row r="229" spans="1:9" x14ac:dyDescent="0.2">
      <c r="F229" s="43" t="s">
        <v>694</v>
      </c>
      <c r="H229" s="43" t="s">
        <v>760</v>
      </c>
    </row>
    <row r="231" spans="1:9" x14ac:dyDescent="0.2">
      <c r="A231" s="44" t="s">
        <v>761</v>
      </c>
    </row>
    <row r="232" spans="1:9" x14ac:dyDescent="0.2">
      <c r="A232" s="44" t="s">
        <v>762</v>
      </c>
    </row>
    <row r="234" spans="1:9" x14ac:dyDescent="0.2">
      <c r="A234" s="43" t="s">
        <v>763</v>
      </c>
      <c r="G234" s="43" t="s">
        <v>764</v>
      </c>
    </row>
    <row r="235" spans="1:9" x14ac:dyDescent="0.2">
      <c r="A235" s="59" t="s">
        <v>564</v>
      </c>
      <c r="B235" s="59" t="s">
        <v>765</v>
      </c>
      <c r="G235" s="59" t="s">
        <v>564</v>
      </c>
      <c r="H235" s="59" t="s">
        <v>765</v>
      </c>
    </row>
    <row r="236" spans="1:9" x14ac:dyDescent="0.2">
      <c r="A236" s="43">
        <v>4</v>
      </c>
      <c r="B236" s="85">
        <v>2000</v>
      </c>
      <c r="C236" s="456">
        <f>B236/1.01^4</f>
        <v>1921.9606889656325</v>
      </c>
      <c r="E236" s="43" t="s">
        <v>766</v>
      </c>
      <c r="G236" s="43">
        <v>0</v>
      </c>
      <c r="H236" s="85">
        <v>4400</v>
      </c>
    </row>
    <row r="237" spans="1:9" x14ac:dyDescent="0.2">
      <c r="A237" s="43">
        <v>8</v>
      </c>
      <c r="B237" s="85">
        <v>3000</v>
      </c>
      <c r="C237" s="456">
        <f>B237/1.01^8</f>
        <v>2770.4496674469365</v>
      </c>
      <c r="E237" s="43" t="s">
        <v>767</v>
      </c>
    </row>
    <row r="239" spans="1:9" x14ac:dyDescent="0.2">
      <c r="A239" s="43" t="s">
        <v>768</v>
      </c>
      <c r="C239" s="86">
        <f>2000/1.01^4+3000/1.01^8</f>
        <v>4692.4103564125689</v>
      </c>
      <c r="G239" s="43" t="s">
        <v>768</v>
      </c>
      <c r="I239" s="86">
        <f>H236</f>
        <v>4400</v>
      </c>
    </row>
    <row r="241" spans="1:4" x14ac:dyDescent="0.2">
      <c r="A241" s="43" t="s">
        <v>769</v>
      </c>
    </row>
    <row r="243" spans="1:4" x14ac:dyDescent="0.2">
      <c r="A243" s="87" t="s">
        <v>770</v>
      </c>
    </row>
    <row r="244" spans="1:4" x14ac:dyDescent="0.2">
      <c r="B244" s="43" t="s">
        <v>771</v>
      </c>
      <c r="C244" s="43" t="s">
        <v>772</v>
      </c>
    </row>
    <row r="245" spans="1:4" x14ac:dyDescent="0.2">
      <c r="B245" s="59" t="s">
        <v>773</v>
      </c>
      <c r="C245" s="59" t="s">
        <v>774</v>
      </c>
    </row>
    <row r="246" spans="1:4" x14ac:dyDescent="0.2">
      <c r="B246" s="77">
        <v>0.01</v>
      </c>
      <c r="C246" s="77">
        <v>0.01</v>
      </c>
      <c r="D246" s="43" t="s">
        <v>87</v>
      </c>
    </row>
    <row r="247" spans="1:4" ht="16" thickBot="1" x14ac:dyDescent="0.25">
      <c r="B247" s="43">
        <v>4</v>
      </c>
      <c r="C247" s="43">
        <v>4</v>
      </c>
      <c r="D247" s="43" t="s">
        <v>89</v>
      </c>
    </row>
    <row r="248" spans="1:4" ht="16" thickBot="1" x14ac:dyDescent="0.25">
      <c r="B248" s="88">
        <f>PV(B246,B247,B249,B250)</f>
        <v>-4692.4103564125699</v>
      </c>
      <c r="C248" s="86">
        <f>PV(C246,C247,C249,C250)</f>
        <v>-2882.9410334484487</v>
      </c>
      <c r="D248" s="43" t="s">
        <v>281</v>
      </c>
    </row>
    <row r="249" spans="1:4" x14ac:dyDescent="0.2">
      <c r="B249" s="43">
        <v>0</v>
      </c>
      <c r="C249" s="43">
        <v>0</v>
      </c>
      <c r="D249" s="43" t="s">
        <v>91</v>
      </c>
    </row>
    <row r="250" spans="1:4" x14ac:dyDescent="0.2">
      <c r="B250" s="74">
        <f>-C248+2000</f>
        <v>4882.9410334484492</v>
      </c>
      <c r="C250" s="43">
        <v>3000</v>
      </c>
      <c r="D250" s="43" t="s">
        <v>105</v>
      </c>
    </row>
    <row r="252" spans="1:4" x14ac:dyDescent="0.2">
      <c r="A252" s="43" t="s">
        <v>775</v>
      </c>
    </row>
    <row r="253" spans="1:4" x14ac:dyDescent="0.2">
      <c r="A253" s="43" t="s">
        <v>776</v>
      </c>
    </row>
    <row r="254" spans="1:4" x14ac:dyDescent="0.2">
      <c r="A254" s="43" t="s">
        <v>777</v>
      </c>
    </row>
    <row r="255" spans="1:4" x14ac:dyDescent="0.2">
      <c r="A255" s="43" t="s">
        <v>778</v>
      </c>
    </row>
    <row r="264" spans="1:8" x14ac:dyDescent="0.2">
      <c r="A264" s="45" t="s">
        <v>779</v>
      </c>
      <c r="B264" s="46"/>
      <c r="C264" s="46"/>
      <c r="D264" s="46"/>
      <c r="E264" s="247" t="s">
        <v>780</v>
      </c>
      <c r="F264" s="46"/>
      <c r="G264" s="46"/>
      <c r="H264" s="46"/>
    </row>
    <row r="265" spans="1:8" x14ac:dyDescent="0.2">
      <c r="A265" s="43" t="s">
        <v>781</v>
      </c>
    </row>
    <row r="266" spans="1:8" x14ac:dyDescent="0.2">
      <c r="A266" s="43" t="s">
        <v>782</v>
      </c>
    </row>
    <row r="267" spans="1:8" x14ac:dyDescent="0.2">
      <c r="A267" s="43" t="s">
        <v>783</v>
      </c>
    </row>
    <row r="268" spans="1:8" x14ac:dyDescent="0.2">
      <c r="A268" s="43" t="s">
        <v>784</v>
      </c>
    </row>
    <row r="269" spans="1:8" x14ac:dyDescent="0.2">
      <c r="A269" s="43" t="s">
        <v>785</v>
      </c>
    </row>
    <row r="271" spans="1:8" x14ac:dyDescent="0.2">
      <c r="A271" s="43" t="s">
        <v>786</v>
      </c>
    </row>
    <row r="273" spans="1:8" x14ac:dyDescent="0.2">
      <c r="F273" s="43" t="s">
        <v>694</v>
      </c>
      <c r="H273" s="74">
        <v>7634.93</v>
      </c>
    </row>
    <row r="274" spans="1:8" x14ac:dyDescent="0.2">
      <c r="A274" s="43" t="s">
        <v>214</v>
      </c>
    </row>
    <row r="275" spans="1:8" x14ac:dyDescent="0.2">
      <c r="B275" s="43" t="str">
        <f ca="1">_xlfn.FORMULATEXT(C275)</f>
        <v>=10000/(1.1*1.08*1.05^2)</v>
      </c>
      <c r="C275" s="90">
        <f>10000/(1.1*1.08*1.05^2)</f>
        <v>7634.9282698489033</v>
      </c>
    </row>
    <row r="277" spans="1:8" x14ac:dyDescent="0.2">
      <c r="A277" s="43" t="s">
        <v>787</v>
      </c>
    </row>
    <row r="278" spans="1:8" x14ac:dyDescent="0.2">
      <c r="D278" s="49" t="s">
        <v>788</v>
      </c>
      <c r="E278" s="49" t="s">
        <v>789</v>
      </c>
      <c r="F278" s="49" t="s">
        <v>790</v>
      </c>
    </row>
    <row r="279" spans="1:8" x14ac:dyDescent="0.2">
      <c r="D279" s="54">
        <v>0.05</v>
      </c>
      <c r="E279" s="54">
        <v>0.08</v>
      </c>
      <c r="F279" s="54">
        <v>0.1</v>
      </c>
      <c r="G279" s="43" t="s">
        <v>87</v>
      </c>
    </row>
    <row r="280" spans="1:8" ht="16" thickBot="1" x14ac:dyDescent="0.25">
      <c r="D280" s="47">
        <v>2</v>
      </c>
      <c r="E280" s="47">
        <v>1</v>
      </c>
      <c r="F280" s="47">
        <v>1</v>
      </c>
      <c r="G280" s="43" t="s">
        <v>89</v>
      </c>
    </row>
    <row r="281" spans="1:8" ht="16" thickBot="1" x14ac:dyDescent="0.25">
      <c r="C281" s="74"/>
      <c r="D281" s="91">
        <f>PV(D279,D280,D282,D283)</f>
        <v>-7634.9282698489033</v>
      </c>
      <c r="E281" s="89">
        <f>PV(E279,E280,E282,E283)</f>
        <v>-8417.5084175084157</v>
      </c>
      <c r="F281" s="89">
        <f>PV(F279,F280,F282,F283)</f>
        <v>-9090.9090909090901</v>
      </c>
      <c r="G281" s="43" t="s">
        <v>281</v>
      </c>
    </row>
    <row r="282" spans="1:8" x14ac:dyDescent="0.2">
      <c r="D282" s="47">
        <v>0</v>
      </c>
      <c r="E282" s="47">
        <v>0</v>
      </c>
      <c r="F282" s="47">
        <v>0</v>
      </c>
      <c r="G282" s="43" t="s">
        <v>91</v>
      </c>
    </row>
    <row r="283" spans="1:8" x14ac:dyDescent="0.2">
      <c r="D283" s="48">
        <f>-E281</f>
        <v>8417.5084175084157</v>
      </c>
      <c r="E283" s="48">
        <f>-F281</f>
        <v>9090.9090909090901</v>
      </c>
      <c r="F283" s="47">
        <v>10000</v>
      </c>
      <c r="G283" s="43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694008-BDA7-3D45-9358-8C53DAB48AFB}">
  <dimension ref="A1:K443"/>
  <sheetViews>
    <sheetView rightToLeft="1" topLeftCell="A461" zoomScale="170" zoomScaleNormal="170" workbookViewId="0">
      <selection activeCell="C175" sqref="C175"/>
    </sheetView>
  </sheetViews>
  <sheetFormatPr baseColWidth="10" defaultColWidth="11.5" defaultRowHeight="15" x14ac:dyDescent="0.2"/>
  <sheetData>
    <row r="1" spans="1:8" s="43" customFormat="1" ht="18" x14ac:dyDescent="0.2">
      <c r="A1" s="738" t="s">
        <v>3062</v>
      </c>
      <c r="B1" s="738"/>
      <c r="C1" s="738"/>
      <c r="D1" s="738"/>
      <c r="E1" s="738"/>
      <c r="F1" s="738"/>
      <c r="G1" s="738"/>
      <c r="H1" s="738"/>
    </row>
    <row r="2" spans="1:8" ht="16" thickBot="1" x14ac:dyDescent="0.25"/>
    <row r="3" spans="1:8" s="92" customFormat="1" ht="16" x14ac:dyDescent="0.2">
      <c r="A3" s="103" t="s">
        <v>791</v>
      </c>
      <c r="B3" s="96"/>
      <c r="C3" s="96"/>
      <c r="D3" s="96"/>
      <c r="E3" s="96"/>
      <c r="F3" s="96"/>
      <c r="G3" s="96"/>
      <c r="H3" s="97"/>
    </row>
    <row r="4" spans="1:8" s="92" customFormat="1" ht="16" x14ac:dyDescent="0.2">
      <c r="A4" s="98" t="s">
        <v>792</v>
      </c>
      <c r="H4" s="99"/>
    </row>
    <row r="5" spans="1:8" s="92" customFormat="1" ht="17" thickBot="1" x14ac:dyDescent="0.25">
      <c r="A5" s="100" t="s">
        <v>793</v>
      </c>
      <c r="B5" s="101"/>
      <c r="C5" s="101"/>
      <c r="D5" s="101"/>
      <c r="E5" s="101"/>
      <c r="F5" s="101"/>
      <c r="G5" s="101"/>
      <c r="H5" s="102"/>
    </row>
    <row r="6" spans="1:8" s="92" customFormat="1" ht="16" x14ac:dyDescent="0.2"/>
    <row r="7" spans="1:8" s="92" customFormat="1" ht="16" x14ac:dyDescent="0.2">
      <c r="A7" s="94" t="s">
        <v>676</v>
      </c>
      <c r="B7" s="94" t="s">
        <v>794</v>
      </c>
      <c r="C7" s="94" t="s">
        <v>2547</v>
      </c>
      <c r="D7" s="94"/>
      <c r="E7" s="94"/>
      <c r="F7" s="94"/>
      <c r="G7" s="94"/>
      <c r="H7" s="94" t="s">
        <v>2548</v>
      </c>
    </row>
    <row r="8" spans="1:8" s="92" customFormat="1" ht="16" x14ac:dyDescent="0.2">
      <c r="A8" s="92" t="s">
        <v>795</v>
      </c>
    </row>
    <row r="9" spans="1:8" s="92" customFormat="1" ht="16" x14ac:dyDescent="0.2">
      <c r="A9" s="92" t="s">
        <v>796</v>
      </c>
    </row>
    <row r="10" spans="1:8" s="92" customFormat="1" ht="16" x14ac:dyDescent="0.2"/>
    <row r="11" spans="1:8" s="92" customFormat="1" ht="16" x14ac:dyDescent="0.2">
      <c r="A11" s="92" t="s">
        <v>321</v>
      </c>
    </row>
    <row r="12" spans="1:8" s="92" customFormat="1" ht="16" x14ac:dyDescent="0.2">
      <c r="A12" s="92" t="s">
        <v>797</v>
      </c>
    </row>
    <row r="13" spans="1:8" s="92" customFormat="1" ht="16" x14ac:dyDescent="0.2">
      <c r="A13" s="92" t="s">
        <v>798</v>
      </c>
    </row>
    <row r="14" spans="1:8" s="92" customFormat="1" ht="16" x14ac:dyDescent="0.2">
      <c r="A14" s="92" t="s">
        <v>799</v>
      </c>
    </row>
    <row r="15" spans="1:8" s="92" customFormat="1" ht="16" x14ac:dyDescent="0.2"/>
    <row r="16" spans="1:8" s="92" customFormat="1" ht="16" x14ac:dyDescent="0.2">
      <c r="A16" s="92" t="s">
        <v>800</v>
      </c>
    </row>
    <row r="17" spans="1:7" s="92" customFormat="1" ht="16" x14ac:dyDescent="0.2">
      <c r="A17" s="92" t="s">
        <v>801</v>
      </c>
    </row>
    <row r="18" spans="1:7" s="92" customFormat="1" ht="16" x14ac:dyDescent="0.2"/>
    <row r="19" spans="1:7" s="92" customFormat="1" ht="16" x14ac:dyDescent="0.2">
      <c r="A19" s="92" t="s">
        <v>802</v>
      </c>
      <c r="D19" s="459">
        <v>0.05</v>
      </c>
      <c r="E19" s="92" t="s">
        <v>87</v>
      </c>
    </row>
    <row r="20" spans="1:7" s="92" customFormat="1" ht="16" x14ac:dyDescent="0.2">
      <c r="A20" s="92" t="s">
        <v>803</v>
      </c>
      <c r="D20" s="460">
        <v>3</v>
      </c>
      <c r="E20" s="92" t="s">
        <v>89</v>
      </c>
    </row>
    <row r="21" spans="1:7" s="92" customFormat="1" ht="16" x14ac:dyDescent="0.2">
      <c r="A21" s="92" t="s">
        <v>804</v>
      </c>
      <c r="D21" s="460">
        <v>100</v>
      </c>
      <c r="E21" s="92" t="s">
        <v>91</v>
      </c>
    </row>
    <row r="22" spans="1:7" s="92" customFormat="1" ht="16" x14ac:dyDescent="0.2">
      <c r="A22" s="92" t="s">
        <v>2549</v>
      </c>
      <c r="D22" s="579">
        <f>PV(D19,D20,D21,D23,D24)</f>
        <v>-272.32480293704799</v>
      </c>
      <c r="E22" s="92" t="s">
        <v>281</v>
      </c>
    </row>
    <row r="23" spans="1:7" s="92" customFormat="1" ht="16" x14ac:dyDescent="0.2">
      <c r="A23" s="92" t="s">
        <v>805</v>
      </c>
      <c r="D23" s="460">
        <v>0</v>
      </c>
      <c r="E23" s="92" t="s">
        <v>105</v>
      </c>
    </row>
    <row r="24" spans="1:7" s="92" customFormat="1" ht="21" x14ac:dyDescent="0.25">
      <c r="A24" s="92" t="s">
        <v>806</v>
      </c>
      <c r="D24" s="25">
        <v>0</v>
      </c>
      <c r="E24" s="92" t="s">
        <v>328</v>
      </c>
      <c r="F24" s="92" t="s">
        <v>2550</v>
      </c>
    </row>
    <row r="25" spans="1:7" s="92" customFormat="1" ht="16" x14ac:dyDescent="0.2">
      <c r="D25" s="105"/>
    </row>
    <row r="26" spans="1:7" s="92" customFormat="1" ht="16" x14ac:dyDescent="0.2">
      <c r="A26" s="92" t="s">
        <v>2551</v>
      </c>
      <c r="D26" s="105"/>
    </row>
    <row r="27" spans="1:7" s="92" customFormat="1" ht="16" x14ac:dyDescent="0.2">
      <c r="D27" s="105"/>
    </row>
    <row r="28" spans="1:7" s="92" customFormat="1" ht="16" x14ac:dyDescent="0.2">
      <c r="A28" s="107" t="s">
        <v>696</v>
      </c>
      <c r="B28" s="304"/>
      <c r="C28" s="304"/>
      <c r="D28" s="459">
        <v>0.05</v>
      </c>
      <c r="E28" s="92" t="s">
        <v>87</v>
      </c>
    </row>
    <row r="29" spans="1:7" s="92" customFormat="1" ht="16" x14ac:dyDescent="0.2">
      <c r="B29" s="304"/>
      <c r="C29" s="304"/>
      <c r="D29" s="460">
        <v>3</v>
      </c>
      <c r="E29" s="92" t="s">
        <v>89</v>
      </c>
      <c r="G29" s="92" t="s">
        <v>3064</v>
      </c>
    </row>
    <row r="30" spans="1:7" s="92" customFormat="1" ht="16" x14ac:dyDescent="0.2">
      <c r="D30" s="105">
        <v>100</v>
      </c>
      <c r="E30" s="92" t="s">
        <v>91</v>
      </c>
      <c r="G30" s="92" t="s">
        <v>3065</v>
      </c>
    </row>
    <row r="31" spans="1:7" s="92" customFormat="1" ht="16" x14ac:dyDescent="0.2">
      <c r="D31" s="579">
        <f>PV(D28,D29,D30,D32,D33)</f>
        <v>-285.94104308390041</v>
      </c>
      <c r="E31" s="92" t="s">
        <v>281</v>
      </c>
      <c r="G31" s="92" t="s">
        <v>3066</v>
      </c>
    </row>
    <row r="32" spans="1:7" s="92" customFormat="1" ht="16" x14ac:dyDescent="0.2">
      <c r="D32" s="105">
        <v>0</v>
      </c>
      <c r="E32" s="92" t="s">
        <v>105</v>
      </c>
    </row>
    <row r="33" spans="1:8" s="92" customFormat="1" ht="23" x14ac:dyDescent="0.25">
      <c r="A33" s="92" t="s">
        <v>807</v>
      </c>
      <c r="D33" s="580">
        <v>1</v>
      </c>
      <c r="E33" s="92" t="s">
        <v>328</v>
      </c>
    </row>
    <row r="34" spans="1:8" s="92" customFormat="1" ht="16" x14ac:dyDescent="0.2"/>
    <row r="35" spans="1:8" s="92" customFormat="1" ht="16" x14ac:dyDescent="0.2">
      <c r="A35" s="94" t="s">
        <v>687</v>
      </c>
      <c r="B35" s="94" t="s">
        <v>808</v>
      </c>
      <c r="C35" s="94"/>
      <c r="D35" s="94"/>
      <c r="E35" s="94"/>
      <c r="F35" s="94"/>
      <c r="G35" s="94"/>
      <c r="H35" s="94"/>
    </row>
    <row r="36" spans="1:8" s="92" customFormat="1" ht="16" x14ac:dyDescent="0.2">
      <c r="A36" s="92" t="s">
        <v>2552</v>
      </c>
    </row>
    <row r="37" spans="1:8" s="92" customFormat="1" ht="16" x14ac:dyDescent="0.2">
      <c r="A37" s="92" t="s">
        <v>809</v>
      </c>
    </row>
    <row r="38" spans="1:8" s="92" customFormat="1" ht="16" x14ac:dyDescent="0.2"/>
    <row r="39" spans="1:8" s="92" customFormat="1" ht="16" x14ac:dyDescent="0.2">
      <c r="A39" s="92" t="s">
        <v>810</v>
      </c>
    </row>
    <row r="40" spans="1:8" s="92" customFormat="1" ht="17" thickBot="1" x14ac:dyDescent="0.25"/>
    <row r="41" spans="1:8" s="92" customFormat="1" ht="16" x14ac:dyDescent="0.2">
      <c r="A41" s="95" t="s">
        <v>2553</v>
      </c>
      <c r="B41" s="581"/>
      <c r="C41" s="581"/>
      <c r="D41" s="581"/>
      <c r="E41" s="581"/>
      <c r="F41" s="582"/>
    </row>
    <row r="42" spans="1:8" s="92" customFormat="1" ht="17" thickBot="1" x14ac:dyDescent="0.25">
      <c r="A42" s="495" t="s">
        <v>812</v>
      </c>
      <c r="B42" s="583"/>
      <c r="C42" s="583"/>
      <c r="D42" s="583"/>
      <c r="E42" s="583"/>
      <c r="F42" s="584"/>
    </row>
    <row r="43" spans="1:8" s="92" customFormat="1" ht="16" x14ac:dyDescent="0.2"/>
    <row r="44" spans="1:8" s="92" customFormat="1" ht="16" x14ac:dyDescent="0.2">
      <c r="A44" s="92" t="s">
        <v>2554</v>
      </c>
      <c r="D44" s="464">
        <v>5.0000000000000001E-3</v>
      </c>
      <c r="E44" s="92" t="s">
        <v>87</v>
      </c>
    </row>
    <row r="45" spans="1:8" s="92" customFormat="1" ht="16" x14ac:dyDescent="0.2">
      <c r="A45" s="92" t="s">
        <v>813</v>
      </c>
      <c r="D45" s="460">
        <f>20*12</f>
        <v>240</v>
      </c>
      <c r="E45" s="92" t="s">
        <v>89</v>
      </c>
    </row>
    <row r="46" spans="1:8" s="92" customFormat="1" ht="16" x14ac:dyDescent="0.2">
      <c r="A46" s="92" t="s">
        <v>3067</v>
      </c>
      <c r="D46" s="460">
        <v>-3500</v>
      </c>
      <c r="E46" s="304" t="s">
        <v>91</v>
      </c>
    </row>
    <row r="47" spans="1:8" s="92" customFormat="1" ht="16" x14ac:dyDescent="0.2">
      <c r="A47" s="92" t="s">
        <v>814</v>
      </c>
      <c r="D47" s="579">
        <f>PV(D44,D45,D46,D48,D49)</f>
        <v>488532.70089024433</v>
      </c>
      <c r="E47" s="92" t="s">
        <v>281</v>
      </c>
    </row>
    <row r="48" spans="1:8" s="92" customFormat="1" ht="16" x14ac:dyDescent="0.2">
      <c r="A48" s="304" t="s">
        <v>3068</v>
      </c>
      <c r="B48" s="304"/>
      <c r="C48" s="304"/>
      <c r="D48" s="460">
        <v>0</v>
      </c>
      <c r="E48" s="92" t="s">
        <v>105</v>
      </c>
    </row>
    <row r="49" spans="1:8" s="92" customFormat="1" ht="16" x14ac:dyDescent="0.2">
      <c r="A49" s="304" t="s">
        <v>3069</v>
      </c>
      <c r="B49" s="304"/>
      <c r="C49" s="304"/>
      <c r="D49" s="460">
        <v>0</v>
      </c>
      <c r="E49" s="92" t="s">
        <v>328</v>
      </c>
    </row>
    <row r="50" spans="1:8" s="92" customFormat="1" ht="16" x14ac:dyDescent="0.2"/>
    <row r="51" spans="1:8" s="92" customFormat="1" ht="16" x14ac:dyDescent="0.2">
      <c r="A51" s="94" t="s">
        <v>702</v>
      </c>
      <c r="B51" s="94" t="s">
        <v>815</v>
      </c>
      <c r="C51" s="94"/>
      <c r="D51" s="94"/>
      <c r="E51" s="94"/>
      <c r="F51" s="94"/>
      <c r="G51" s="94"/>
      <c r="H51" s="94"/>
    </row>
    <row r="52" spans="1:8" s="92" customFormat="1" ht="16" x14ac:dyDescent="0.2">
      <c r="A52" s="92" t="s">
        <v>816</v>
      </c>
    </row>
    <row r="53" spans="1:8" s="92" customFormat="1" ht="16" x14ac:dyDescent="0.2">
      <c r="A53" s="92" t="s">
        <v>817</v>
      </c>
    </row>
    <row r="54" spans="1:8" s="92" customFormat="1" ht="16" x14ac:dyDescent="0.2">
      <c r="A54" s="92" t="s">
        <v>818</v>
      </c>
    </row>
    <row r="55" spans="1:8" s="92" customFormat="1" ht="16" x14ac:dyDescent="0.2">
      <c r="A55" s="92" t="s">
        <v>819</v>
      </c>
    </row>
    <row r="56" spans="1:8" s="92" customFormat="1" ht="16" x14ac:dyDescent="0.2">
      <c r="A56" s="92" t="s">
        <v>820</v>
      </c>
    </row>
    <row r="57" spans="1:8" s="92" customFormat="1" ht="16" x14ac:dyDescent="0.2">
      <c r="A57" s="92" t="s">
        <v>821</v>
      </c>
    </row>
    <row r="58" spans="1:8" s="92" customFormat="1" ht="16" x14ac:dyDescent="0.2">
      <c r="A58" s="92" t="s">
        <v>822</v>
      </c>
    </row>
    <row r="59" spans="1:8" s="92" customFormat="1" ht="16" x14ac:dyDescent="0.2"/>
    <row r="60" spans="1:8" s="92" customFormat="1" ht="16" x14ac:dyDescent="0.2">
      <c r="A60" s="93" t="s">
        <v>823</v>
      </c>
    </row>
    <row r="61" spans="1:8" s="92" customFormat="1" ht="17" thickBot="1" x14ac:dyDescent="0.25"/>
    <row r="62" spans="1:8" s="92" customFormat="1" ht="16" x14ac:dyDescent="0.2">
      <c r="A62" s="103" t="s">
        <v>2555</v>
      </c>
      <c r="B62" s="96"/>
      <c r="C62" s="96"/>
      <c r="D62" s="96"/>
      <c r="E62" s="96"/>
      <c r="F62" s="96"/>
      <c r="G62" s="96"/>
      <c r="H62" s="97"/>
    </row>
    <row r="63" spans="1:8" s="92" customFormat="1" ht="17" thickBot="1" x14ac:dyDescent="0.25">
      <c r="A63" s="100" t="s">
        <v>2556</v>
      </c>
      <c r="B63" s="101"/>
      <c r="C63" s="101"/>
      <c r="D63" s="101"/>
      <c r="E63" s="101"/>
      <c r="F63" s="101"/>
      <c r="G63" s="101"/>
      <c r="H63" s="102"/>
    </row>
    <row r="64" spans="1:8" s="92" customFormat="1" ht="16" x14ac:dyDescent="0.2"/>
    <row r="65" spans="1:8" s="92" customFormat="1" ht="16" x14ac:dyDescent="0.2">
      <c r="A65" s="107" t="s">
        <v>824</v>
      </c>
    </row>
    <row r="66" spans="1:8" s="92" customFormat="1" ht="16" x14ac:dyDescent="0.2"/>
    <row r="67" spans="1:8" s="92" customFormat="1" ht="16" x14ac:dyDescent="0.2">
      <c r="A67" s="135" t="s">
        <v>825</v>
      </c>
    </row>
    <row r="68" spans="1:8" s="92" customFormat="1" ht="16" x14ac:dyDescent="0.2">
      <c r="H68" s="93" t="s">
        <v>826</v>
      </c>
    </row>
    <row r="69" spans="1:8" s="92" customFormat="1" ht="16" x14ac:dyDescent="0.2">
      <c r="A69" s="92" t="s">
        <v>827</v>
      </c>
    </row>
    <row r="70" spans="1:8" s="92" customFormat="1" ht="16" x14ac:dyDescent="0.2">
      <c r="A70" s="110" t="s">
        <v>564</v>
      </c>
      <c r="B70" s="110" t="s">
        <v>828</v>
      </c>
      <c r="C70" s="110" t="s">
        <v>829</v>
      </c>
      <c r="E70" s="92" t="s">
        <v>830</v>
      </c>
    </row>
    <row r="71" spans="1:8" s="92" customFormat="1" ht="16" x14ac:dyDescent="0.2">
      <c r="A71" s="105">
        <v>0</v>
      </c>
      <c r="B71" s="457">
        <v>0</v>
      </c>
      <c r="C71" s="730" t="s">
        <v>831</v>
      </c>
      <c r="E71" s="92" t="s">
        <v>832</v>
      </c>
    </row>
    <row r="72" spans="1:8" s="92" customFormat="1" ht="16" x14ac:dyDescent="0.2">
      <c r="A72" s="105" t="s">
        <v>566</v>
      </c>
      <c r="B72" s="457">
        <v>0</v>
      </c>
      <c r="C72" s="731"/>
      <c r="E72" s="92" t="s">
        <v>833</v>
      </c>
    </row>
    <row r="73" spans="1:8" s="92" customFormat="1" ht="16" x14ac:dyDescent="0.2">
      <c r="A73" s="105" t="s">
        <v>566</v>
      </c>
      <c r="B73" s="457">
        <v>0</v>
      </c>
      <c r="C73" s="731"/>
      <c r="E73" s="92" t="s">
        <v>834</v>
      </c>
    </row>
    <row r="74" spans="1:8" s="92" customFormat="1" ht="17" thickBot="1" x14ac:dyDescent="0.25">
      <c r="A74" s="105">
        <v>7</v>
      </c>
      <c r="B74" s="457">
        <v>0</v>
      </c>
      <c r="C74" s="732"/>
    </row>
    <row r="75" spans="1:8" s="92" customFormat="1" ht="17" thickBot="1" x14ac:dyDescent="0.25">
      <c r="A75" s="105">
        <v>8</v>
      </c>
      <c r="B75" s="462">
        <v>200000</v>
      </c>
      <c r="C75" s="733" t="s">
        <v>835</v>
      </c>
      <c r="E75" s="92" t="s">
        <v>836</v>
      </c>
    </row>
    <row r="76" spans="1:8" s="92" customFormat="1" ht="16" x14ac:dyDescent="0.2">
      <c r="A76" s="105">
        <v>9</v>
      </c>
      <c r="B76" s="458">
        <v>200000</v>
      </c>
      <c r="C76" s="734"/>
      <c r="E76" s="92" t="s">
        <v>837</v>
      </c>
    </row>
    <row r="77" spans="1:8" s="92" customFormat="1" ht="16" x14ac:dyDescent="0.2">
      <c r="A77" s="105" t="s">
        <v>566</v>
      </c>
      <c r="B77" s="458">
        <v>200000</v>
      </c>
      <c r="C77" s="734"/>
      <c r="E77" s="92" t="s">
        <v>838</v>
      </c>
    </row>
    <row r="78" spans="1:8" s="92" customFormat="1" ht="17" thickBot="1" x14ac:dyDescent="0.25">
      <c r="A78" s="105" t="s">
        <v>566</v>
      </c>
      <c r="B78" s="458">
        <v>200000</v>
      </c>
      <c r="C78" s="734"/>
    </row>
    <row r="79" spans="1:8" s="92" customFormat="1" ht="17" thickBot="1" x14ac:dyDescent="0.25">
      <c r="A79" s="105">
        <v>37</v>
      </c>
      <c r="B79" s="458">
        <v>200000</v>
      </c>
      <c r="C79" s="735"/>
      <c r="E79" s="95" t="s">
        <v>839</v>
      </c>
      <c r="F79" s="581"/>
      <c r="G79" s="581"/>
      <c r="H79" s="582"/>
    </row>
    <row r="80" spans="1:8" s="92" customFormat="1" ht="17" thickBot="1" x14ac:dyDescent="0.25">
      <c r="E80" s="495" t="s">
        <v>840</v>
      </c>
      <c r="F80" s="583"/>
      <c r="G80" s="583"/>
      <c r="H80" s="584"/>
    </row>
    <row r="81" spans="1:8" s="92" customFormat="1" ht="16" x14ac:dyDescent="0.2">
      <c r="B81" s="586" t="s">
        <v>771</v>
      </c>
      <c r="C81" s="142" t="s">
        <v>772</v>
      </c>
    </row>
    <row r="82" spans="1:8" s="92" customFormat="1" ht="16" x14ac:dyDescent="0.2">
      <c r="B82" s="586" t="s">
        <v>841</v>
      </c>
      <c r="C82" s="142" t="s">
        <v>841</v>
      </c>
      <c r="F82" s="92" t="s">
        <v>842</v>
      </c>
    </row>
    <row r="83" spans="1:8" s="92" customFormat="1" ht="16" x14ac:dyDescent="0.2">
      <c r="B83" s="587" t="s">
        <v>843</v>
      </c>
      <c r="C83" s="585" t="s">
        <v>844</v>
      </c>
      <c r="F83" s="92" t="s">
        <v>845</v>
      </c>
    </row>
    <row r="84" spans="1:8" s="92" customFormat="1" ht="16" x14ac:dyDescent="0.2">
      <c r="B84" s="459">
        <v>0.05</v>
      </c>
      <c r="C84" s="459">
        <v>0.05</v>
      </c>
      <c r="D84" s="92" t="s">
        <v>87</v>
      </c>
      <c r="F84" s="92" t="s">
        <v>846</v>
      </c>
    </row>
    <row r="85" spans="1:8" s="92" customFormat="1" ht="16" x14ac:dyDescent="0.2">
      <c r="B85" s="460">
        <v>7</v>
      </c>
      <c r="C85" s="460">
        <v>30</v>
      </c>
      <c r="D85" s="92" t="s">
        <v>89</v>
      </c>
      <c r="F85" s="92" t="s">
        <v>847</v>
      </c>
    </row>
    <row r="86" spans="1:8" s="92" customFormat="1" ht="16" x14ac:dyDescent="0.2">
      <c r="B86" s="461">
        <v>0</v>
      </c>
      <c r="C86" s="461">
        <v>200000</v>
      </c>
      <c r="D86" s="92" t="s">
        <v>91</v>
      </c>
      <c r="F86" s="92" t="s">
        <v>848</v>
      </c>
    </row>
    <row r="87" spans="1:8" s="92" customFormat="1" ht="16" x14ac:dyDescent="0.2">
      <c r="B87" s="465">
        <f>PV(B84,B85,B86,B88,B89)</f>
        <v>-2184982.788629049</v>
      </c>
      <c r="C87" s="458">
        <f>PV(C84,C85,C86,C88,C89)</f>
        <v>-3074490.2053765673</v>
      </c>
      <c r="D87" s="92" t="s">
        <v>281</v>
      </c>
      <c r="F87" s="92" t="s">
        <v>849</v>
      </c>
    </row>
    <row r="88" spans="1:8" s="92" customFormat="1" ht="16" x14ac:dyDescent="0.2">
      <c r="B88" s="458">
        <f>-C87</f>
        <v>3074490.2053765673</v>
      </c>
      <c r="C88" s="460">
        <v>0</v>
      </c>
      <c r="D88" s="92" t="s">
        <v>105</v>
      </c>
      <c r="F88" s="92" t="s">
        <v>850</v>
      </c>
    </row>
    <row r="89" spans="1:8" s="92" customFormat="1" ht="16" x14ac:dyDescent="0.2">
      <c r="B89" s="460">
        <v>0</v>
      </c>
      <c r="C89" s="460">
        <v>0</v>
      </c>
      <c r="D89" s="92" t="s">
        <v>328</v>
      </c>
      <c r="F89" s="92" t="s">
        <v>851</v>
      </c>
    </row>
    <row r="90" spans="1:8" s="92" customFormat="1" ht="16" x14ac:dyDescent="0.2"/>
    <row r="91" spans="1:8" s="92" customFormat="1" ht="16" x14ac:dyDescent="0.2">
      <c r="A91" s="92" t="s">
        <v>852</v>
      </c>
    </row>
    <row r="92" spans="1:8" s="92" customFormat="1" ht="16" x14ac:dyDescent="0.2">
      <c r="A92" s="92" t="s">
        <v>853</v>
      </c>
    </row>
    <row r="93" spans="1:8" s="92" customFormat="1" ht="16" x14ac:dyDescent="0.2">
      <c r="A93" s="92" t="s">
        <v>854</v>
      </c>
    </row>
    <row r="94" spans="1:8" s="92" customFormat="1" ht="16" x14ac:dyDescent="0.2">
      <c r="A94" s="92" t="s">
        <v>855</v>
      </c>
    </row>
    <row r="95" spans="1:8" s="92" customFormat="1" ht="16" x14ac:dyDescent="0.2"/>
    <row r="96" spans="1:8" s="92" customFormat="1" ht="16" x14ac:dyDescent="0.2">
      <c r="A96" s="166" t="s">
        <v>856</v>
      </c>
      <c r="B96" s="166"/>
      <c r="C96" s="166"/>
      <c r="D96" s="166"/>
      <c r="E96" s="166"/>
      <c r="F96" s="166"/>
      <c r="G96" s="166"/>
      <c r="H96" s="166"/>
    </row>
    <row r="97" spans="1:8" s="92" customFormat="1" ht="16" x14ac:dyDescent="0.2">
      <c r="A97" s="92" t="s">
        <v>857</v>
      </c>
    </row>
    <row r="98" spans="1:8" s="92" customFormat="1" ht="16" x14ac:dyDescent="0.2">
      <c r="A98" s="92" t="s">
        <v>858</v>
      </c>
    </row>
    <row r="99" spans="1:8" s="92" customFormat="1" ht="16" x14ac:dyDescent="0.2">
      <c r="A99" s="92" t="s">
        <v>859</v>
      </c>
    </row>
    <row r="100" spans="1:8" s="92" customFormat="1" ht="16" x14ac:dyDescent="0.2">
      <c r="A100" s="92" t="s">
        <v>860</v>
      </c>
    </row>
    <row r="101" spans="1:8" s="92" customFormat="1" ht="16" x14ac:dyDescent="0.2"/>
    <row r="102" spans="1:8" s="92" customFormat="1" ht="16" x14ac:dyDescent="0.2">
      <c r="A102" s="110" t="s">
        <v>861</v>
      </c>
      <c r="B102" s="110" t="s">
        <v>862</v>
      </c>
      <c r="D102" s="92" t="s">
        <v>863</v>
      </c>
    </row>
    <row r="103" spans="1:8" s="92" customFormat="1" ht="16" x14ac:dyDescent="0.2">
      <c r="A103" s="105">
        <v>0</v>
      </c>
      <c r="B103" s="115">
        <v>0</v>
      </c>
      <c r="D103" s="92" t="s">
        <v>864</v>
      </c>
    </row>
    <row r="104" spans="1:8" s="92" customFormat="1" ht="16" x14ac:dyDescent="0.2">
      <c r="A104" s="105">
        <v>1</v>
      </c>
      <c r="B104" s="115">
        <v>0</v>
      </c>
      <c r="D104" s="92" t="s">
        <v>865</v>
      </c>
    </row>
    <row r="105" spans="1:8" s="92" customFormat="1" ht="16" x14ac:dyDescent="0.2">
      <c r="A105" s="105">
        <v>2</v>
      </c>
      <c r="B105" s="115">
        <v>0</v>
      </c>
      <c r="D105" s="92" t="s">
        <v>866</v>
      </c>
    </row>
    <row r="106" spans="1:8" s="92" customFormat="1" ht="16" x14ac:dyDescent="0.2">
      <c r="A106" s="105" t="s">
        <v>566</v>
      </c>
      <c r="B106" s="115">
        <v>0</v>
      </c>
    </row>
    <row r="107" spans="1:8" s="92" customFormat="1" ht="16" x14ac:dyDescent="0.2">
      <c r="A107" s="105" t="s">
        <v>566</v>
      </c>
      <c r="B107" s="115">
        <v>0</v>
      </c>
      <c r="D107" s="115" t="s">
        <v>867</v>
      </c>
      <c r="E107" s="142" t="s">
        <v>868</v>
      </c>
    </row>
    <row r="108" spans="1:8" s="92" customFormat="1" ht="16" x14ac:dyDescent="0.2">
      <c r="A108" s="105">
        <v>23</v>
      </c>
      <c r="B108" s="115">
        <v>0</v>
      </c>
      <c r="D108" s="589" t="s">
        <v>771</v>
      </c>
      <c r="E108" s="585" t="s">
        <v>772</v>
      </c>
      <c r="H108" s="92" t="s">
        <v>869</v>
      </c>
    </row>
    <row r="109" spans="1:8" s="92" customFormat="1" ht="16" x14ac:dyDescent="0.2">
      <c r="A109" s="105">
        <v>24</v>
      </c>
      <c r="B109" s="458">
        <v>50000</v>
      </c>
      <c r="C109" s="588" t="s">
        <v>2557</v>
      </c>
      <c r="D109" s="464">
        <v>7.0000000000000001E-3</v>
      </c>
      <c r="E109" s="464">
        <v>7.0000000000000001E-3</v>
      </c>
      <c r="F109" s="92" t="s">
        <v>87</v>
      </c>
      <c r="H109" s="92" t="s">
        <v>870</v>
      </c>
    </row>
    <row r="110" spans="1:8" s="92" customFormat="1" ht="16" x14ac:dyDescent="0.2">
      <c r="A110" s="105" t="s">
        <v>566</v>
      </c>
      <c r="B110" s="113">
        <f>B109</f>
        <v>50000</v>
      </c>
      <c r="C110" s="588" t="s">
        <v>2558</v>
      </c>
      <c r="D110" s="460">
        <v>23</v>
      </c>
      <c r="E110" s="460">
        <f>12*12</f>
        <v>144</v>
      </c>
      <c r="F110" s="92" t="s">
        <v>89</v>
      </c>
      <c r="H110" s="466">
        <f>-D112</f>
        <v>3855888.5862081484</v>
      </c>
    </row>
    <row r="111" spans="1:8" s="92" customFormat="1" ht="16" x14ac:dyDescent="0.2">
      <c r="A111" s="105" t="s">
        <v>566</v>
      </c>
      <c r="B111" s="113">
        <f>B110</f>
        <v>50000</v>
      </c>
      <c r="C111" s="588" t="s">
        <v>2559</v>
      </c>
      <c r="D111" s="461">
        <v>0</v>
      </c>
      <c r="E111" s="461">
        <v>50000</v>
      </c>
      <c r="F111" s="92" t="s">
        <v>91</v>
      </c>
    </row>
    <row r="112" spans="1:8" s="92" customFormat="1" ht="16" x14ac:dyDescent="0.2">
      <c r="A112" s="463">
        <v>167</v>
      </c>
      <c r="B112" s="113">
        <f>B111</f>
        <v>50000</v>
      </c>
      <c r="C112" s="588" t="s">
        <v>2560</v>
      </c>
      <c r="D112" s="465">
        <f>PV(D109,D110,D111,D113,)</f>
        <v>-3855888.5862081484</v>
      </c>
      <c r="E112" s="458">
        <f>PV(E109,E110,E111,E113,)</f>
        <v>-4526914.5772060025</v>
      </c>
      <c r="F112" s="92" t="s">
        <v>281</v>
      </c>
    </row>
    <row r="113" spans="1:11" s="92" customFormat="1" ht="16" x14ac:dyDescent="0.2">
      <c r="A113" s="463"/>
      <c r="B113" s="463"/>
      <c r="D113" s="458">
        <f>-E112</f>
        <v>4526914.5772060025</v>
      </c>
      <c r="E113" s="460">
        <v>0</v>
      </c>
      <c r="F113" s="92" t="s">
        <v>105</v>
      </c>
    </row>
    <row r="114" spans="1:11" s="92" customFormat="1" ht="16" x14ac:dyDescent="0.2">
      <c r="D114" s="460">
        <v>0</v>
      </c>
      <c r="E114" s="460">
        <v>0</v>
      </c>
      <c r="F114" s="92" t="s">
        <v>328</v>
      </c>
    </row>
    <row r="115" spans="1:11" s="92" customFormat="1" ht="16" x14ac:dyDescent="0.2">
      <c r="J115" s="105" t="s">
        <v>715</v>
      </c>
      <c r="K115" s="105" t="s">
        <v>715</v>
      </c>
    </row>
    <row r="116" spans="1:11" s="92" customFormat="1" ht="16" x14ac:dyDescent="0.2">
      <c r="A116" s="94" t="s">
        <v>871</v>
      </c>
      <c r="B116" s="94" t="s">
        <v>3063</v>
      </c>
      <c r="C116" s="94"/>
      <c r="D116" s="94"/>
      <c r="E116" s="94"/>
      <c r="F116" s="94"/>
      <c r="G116" s="94"/>
      <c r="H116" s="94"/>
      <c r="I116" s="110" t="s">
        <v>872</v>
      </c>
      <c r="J116" s="110" t="s">
        <v>873</v>
      </c>
      <c r="K116" s="110" t="s">
        <v>874</v>
      </c>
    </row>
    <row r="117" spans="1:11" s="92" customFormat="1" ht="16" x14ac:dyDescent="0.2">
      <c r="A117" s="92" t="s">
        <v>875</v>
      </c>
      <c r="I117" s="105">
        <v>0</v>
      </c>
      <c r="J117" s="105">
        <v>0</v>
      </c>
      <c r="K117" s="105">
        <v>0</v>
      </c>
    </row>
    <row r="118" spans="1:11" s="92" customFormat="1" ht="16" x14ac:dyDescent="0.2">
      <c r="A118" s="92" t="s">
        <v>876</v>
      </c>
      <c r="I118" s="105">
        <v>1</v>
      </c>
      <c r="J118" s="105">
        <v>0</v>
      </c>
      <c r="K118" s="105">
        <v>0</v>
      </c>
    </row>
    <row r="119" spans="1:11" s="92" customFormat="1" ht="16" x14ac:dyDescent="0.2">
      <c r="A119" s="92" t="s">
        <v>877</v>
      </c>
      <c r="I119" s="105">
        <v>2</v>
      </c>
      <c r="J119" s="105">
        <v>0</v>
      </c>
      <c r="K119" s="105">
        <v>0</v>
      </c>
    </row>
    <row r="120" spans="1:11" s="92" customFormat="1" ht="16" x14ac:dyDescent="0.2">
      <c r="A120" s="92" t="s">
        <v>2561</v>
      </c>
      <c r="I120" s="105" t="s">
        <v>566</v>
      </c>
      <c r="J120" s="105">
        <v>0</v>
      </c>
      <c r="K120" s="105">
        <v>0</v>
      </c>
    </row>
    <row r="121" spans="1:11" s="92" customFormat="1" ht="16" x14ac:dyDescent="0.2">
      <c r="A121" s="92" t="s">
        <v>878</v>
      </c>
      <c r="I121" s="105" t="s">
        <v>566</v>
      </c>
      <c r="J121" s="105">
        <v>0</v>
      </c>
      <c r="K121" s="105">
        <v>0</v>
      </c>
    </row>
    <row r="122" spans="1:11" s="92" customFormat="1" ht="16" x14ac:dyDescent="0.2">
      <c r="A122" s="92" t="s">
        <v>879</v>
      </c>
      <c r="I122" s="105" t="s">
        <v>566</v>
      </c>
      <c r="J122" s="105">
        <v>0</v>
      </c>
      <c r="K122" s="105">
        <v>0</v>
      </c>
    </row>
    <row r="123" spans="1:11" s="92" customFormat="1" ht="16" x14ac:dyDescent="0.2">
      <c r="I123" s="105"/>
      <c r="J123" s="105"/>
      <c r="K123" s="105"/>
    </row>
    <row r="124" spans="1:11" s="92" customFormat="1" ht="16" x14ac:dyDescent="0.2">
      <c r="E124" s="105" t="s">
        <v>3075</v>
      </c>
      <c r="I124" s="105"/>
      <c r="J124" s="105"/>
      <c r="K124" s="105"/>
    </row>
    <row r="125" spans="1:11" s="92" customFormat="1" ht="16" x14ac:dyDescent="0.2">
      <c r="E125" s="105">
        <v>50</v>
      </c>
      <c r="F125" s="105">
        <v>1</v>
      </c>
      <c r="G125" s="105">
        <v>0</v>
      </c>
      <c r="I125" s="105"/>
      <c r="J125" s="105"/>
      <c r="K125" s="105"/>
    </row>
    <row r="126" spans="1:11" s="92" customFormat="1" ht="16" x14ac:dyDescent="0.2">
      <c r="A126" s="92" t="s">
        <v>3070</v>
      </c>
      <c r="G126" s="105"/>
      <c r="I126" s="105"/>
      <c r="J126" s="105"/>
      <c r="K126" s="105"/>
    </row>
    <row r="127" spans="1:11" s="92" customFormat="1" ht="16" x14ac:dyDescent="0.2">
      <c r="G127" s="105"/>
      <c r="I127" s="105"/>
      <c r="J127" s="105"/>
      <c r="K127" s="105"/>
    </row>
    <row r="128" spans="1:11" s="92" customFormat="1" ht="16" x14ac:dyDescent="0.2">
      <c r="C128" s="92" t="s">
        <v>3076</v>
      </c>
      <c r="E128" s="739" t="s">
        <v>902</v>
      </c>
      <c r="F128" s="739"/>
      <c r="G128" s="105"/>
      <c r="I128" s="105"/>
      <c r="J128" s="105"/>
      <c r="K128" s="105"/>
    </row>
    <row r="129" spans="1:11" s="92" customFormat="1" ht="16" x14ac:dyDescent="0.2">
      <c r="D129" s="92" t="s">
        <v>3077</v>
      </c>
      <c r="E129" s="105"/>
      <c r="F129" s="105" t="s">
        <v>3071</v>
      </c>
      <c r="G129" s="105"/>
      <c r="I129" s="105"/>
      <c r="J129" s="105"/>
      <c r="K129" s="105"/>
    </row>
    <row r="130" spans="1:11" s="92" customFormat="1" ht="16" x14ac:dyDescent="0.2">
      <c r="D130" s="92" t="s">
        <v>3078</v>
      </c>
      <c r="E130" s="105"/>
      <c r="F130" s="105" t="s">
        <v>3072</v>
      </c>
      <c r="G130" s="105"/>
      <c r="I130" s="105"/>
      <c r="J130" s="105"/>
      <c r="K130" s="105"/>
    </row>
    <row r="131" spans="1:11" s="92" customFormat="1" ht="16" x14ac:dyDescent="0.2">
      <c r="D131" s="92" t="s">
        <v>3073</v>
      </c>
      <c r="E131" s="108"/>
      <c r="F131" s="105" t="s">
        <v>3073</v>
      </c>
      <c r="G131" s="105"/>
      <c r="I131" s="105"/>
      <c r="J131" s="105"/>
      <c r="K131" s="105"/>
    </row>
    <row r="132" spans="1:11" s="92" customFormat="1" ht="16" x14ac:dyDescent="0.2">
      <c r="G132" s="105"/>
      <c r="I132" s="105"/>
      <c r="J132" s="105"/>
      <c r="K132" s="105"/>
    </row>
    <row r="133" spans="1:11" s="92" customFormat="1" ht="16" x14ac:dyDescent="0.2">
      <c r="E133" s="105" t="s">
        <v>3074</v>
      </c>
      <c r="G133" s="105"/>
      <c r="I133" s="105"/>
      <c r="J133" s="105"/>
      <c r="K133" s="105"/>
    </row>
    <row r="134" spans="1:11" s="92" customFormat="1" ht="16" x14ac:dyDescent="0.2">
      <c r="G134" s="105"/>
      <c r="I134" s="105"/>
      <c r="J134" s="105"/>
      <c r="K134" s="105"/>
    </row>
    <row r="135" spans="1:11" s="92" customFormat="1" ht="16" x14ac:dyDescent="0.2">
      <c r="A135" s="92" t="s">
        <v>3079</v>
      </c>
      <c r="G135" s="105"/>
      <c r="I135" s="105"/>
      <c r="J135" s="105"/>
      <c r="K135" s="105"/>
    </row>
    <row r="136" spans="1:11" s="92" customFormat="1" ht="16" x14ac:dyDescent="0.2">
      <c r="A136" s="92" t="s">
        <v>3080</v>
      </c>
      <c r="G136" s="105"/>
      <c r="I136" s="105"/>
      <c r="J136" s="105"/>
      <c r="K136" s="105"/>
    </row>
    <row r="137" spans="1:11" s="92" customFormat="1" ht="16" x14ac:dyDescent="0.2">
      <c r="A137" s="92" t="s">
        <v>3081</v>
      </c>
      <c r="G137" s="105"/>
      <c r="I137" s="105"/>
      <c r="J137" s="105"/>
      <c r="K137" s="105"/>
    </row>
    <row r="138" spans="1:11" s="92" customFormat="1" ht="16" x14ac:dyDescent="0.2">
      <c r="G138" s="105"/>
      <c r="I138" s="105"/>
      <c r="J138" s="105"/>
      <c r="K138" s="105"/>
    </row>
    <row r="139" spans="1:11" s="92" customFormat="1" ht="16" x14ac:dyDescent="0.2">
      <c r="D139" s="122">
        <v>1E-3</v>
      </c>
      <c r="E139" s="92" t="s">
        <v>87</v>
      </c>
      <c r="G139" s="105"/>
      <c r="I139" s="105"/>
      <c r="J139" s="105"/>
      <c r="K139" s="105"/>
    </row>
    <row r="140" spans="1:11" s="92" customFormat="1" ht="16" x14ac:dyDescent="0.2">
      <c r="D140" s="105">
        <v>12</v>
      </c>
      <c r="E140" s="92" t="s">
        <v>89</v>
      </c>
      <c r="G140" s="105"/>
      <c r="I140" s="105"/>
      <c r="J140" s="105"/>
      <c r="K140" s="105"/>
    </row>
    <row r="141" spans="1:11" s="92" customFormat="1" ht="16" x14ac:dyDescent="0.2">
      <c r="D141" s="105">
        <v>500</v>
      </c>
      <c r="E141" s="92" t="s">
        <v>91</v>
      </c>
      <c r="G141" s="105"/>
      <c r="I141" s="105"/>
      <c r="J141" s="105"/>
      <c r="K141" s="105"/>
    </row>
    <row r="142" spans="1:11" s="92" customFormat="1" ht="16" x14ac:dyDescent="0.2">
      <c r="D142" s="668">
        <f>PV(D139,D140,D141,D143,D144)</f>
        <v>-5967.142500996717</v>
      </c>
      <c r="E142" s="92" t="s">
        <v>281</v>
      </c>
      <c r="F142" s="92" t="s">
        <v>3084</v>
      </c>
      <c r="G142" s="105"/>
      <c r="I142" s="105"/>
      <c r="J142" s="105"/>
      <c r="K142" s="105"/>
    </row>
    <row r="143" spans="1:11" s="92" customFormat="1" ht="16" x14ac:dyDescent="0.2">
      <c r="D143" s="105">
        <v>0</v>
      </c>
      <c r="E143" s="92" t="s">
        <v>105</v>
      </c>
      <c r="F143" s="92" t="s">
        <v>3082</v>
      </c>
      <c r="G143" s="105"/>
      <c r="I143" s="105"/>
      <c r="J143" s="105"/>
      <c r="K143" s="105"/>
    </row>
    <row r="144" spans="1:11" s="92" customFormat="1" ht="16" x14ac:dyDescent="0.2">
      <c r="D144" s="105">
        <v>1</v>
      </c>
      <c r="E144" s="92" t="s">
        <v>328</v>
      </c>
      <c r="F144" s="92" t="s">
        <v>3083</v>
      </c>
      <c r="G144" s="105"/>
      <c r="I144" s="105"/>
      <c r="J144" s="105"/>
      <c r="K144" s="105"/>
    </row>
    <row r="145" spans="1:11" s="92" customFormat="1" ht="16" x14ac:dyDescent="0.2">
      <c r="G145" s="105"/>
      <c r="I145" s="105"/>
      <c r="J145" s="105"/>
      <c r="K145" s="105"/>
    </row>
    <row r="146" spans="1:11" s="92" customFormat="1" ht="16" x14ac:dyDescent="0.2">
      <c r="A146" s="92" t="s">
        <v>3085</v>
      </c>
      <c r="G146" s="105"/>
      <c r="I146" s="668">
        <f>-D142</f>
        <v>5967.142500996717</v>
      </c>
      <c r="J146" s="105"/>
      <c r="K146" s="105"/>
    </row>
    <row r="147" spans="1:11" s="92" customFormat="1" ht="16" x14ac:dyDescent="0.2">
      <c r="F147" s="92" t="s">
        <v>3086</v>
      </c>
      <c r="G147" s="105"/>
      <c r="I147" s="105">
        <v>5000</v>
      </c>
      <c r="J147" s="105"/>
      <c r="K147" s="105"/>
    </row>
    <row r="148" spans="1:11" s="92" customFormat="1" ht="16" x14ac:dyDescent="0.2">
      <c r="F148" s="92" t="s">
        <v>3087</v>
      </c>
      <c r="G148" s="105"/>
      <c r="I148" s="668">
        <f>I146+I147</f>
        <v>10967.142500996717</v>
      </c>
      <c r="J148" s="105"/>
      <c r="K148" s="105"/>
    </row>
    <row r="149" spans="1:11" s="92" customFormat="1" ht="16" x14ac:dyDescent="0.2">
      <c r="E149" s="739"/>
      <c r="F149" s="739"/>
      <c r="I149" s="105"/>
      <c r="J149" s="105"/>
      <c r="K149" s="105"/>
    </row>
    <row r="150" spans="1:11" s="92" customFormat="1" ht="16" x14ac:dyDescent="0.2">
      <c r="A150" s="92" t="s">
        <v>3088</v>
      </c>
      <c r="E150" s="105"/>
      <c r="F150" s="105"/>
      <c r="I150" s="105"/>
      <c r="J150" s="105"/>
      <c r="K150" s="105"/>
    </row>
    <row r="151" spans="1:11" s="92" customFormat="1" ht="16" x14ac:dyDescent="0.2">
      <c r="A151" s="92" t="s">
        <v>3089</v>
      </c>
      <c r="E151" s="105"/>
      <c r="F151" s="105"/>
      <c r="I151" s="105"/>
      <c r="J151" s="105"/>
      <c r="K151" s="105"/>
    </row>
    <row r="152" spans="1:11" s="92" customFormat="1" ht="16" x14ac:dyDescent="0.2">
      <c r="D152" s="122">
        <v>1E-3</v>
      </c>
      <c r="E152" s="92" t="s">
        <v>87</v>
      </c>
      <c r="F152" s="141" t="s">
        <v>3090</v>
      </c>
      <c r="I152" s="105"/>
      <c r="J152" s="105"/>
      <c r="K152" s="105"/>
    </row>
    <row r="153" spans="1:11" s="92" customFormat="1" ht="16" x14ac:dyDescent="0.2">
      <c r="D153" s="105">
        <v>50</v>
      </c>
      <c r="E153" s="92" t="s">
        <v>89</v>
      </c>
      <c r="F153" s="141" t="s">
        <v>3091</v>
      </c>
      <c r="I153" s="105"/>
      <c r="J153" s="105"/>
      <c r="K153" s="105"/>
    </row>
    <row r="154" spans="1:11" s="92" customFormat="1" ht="16" x14ac:dyDescent="0.2">
      <c r="D154" s="106">
        <f>PMT(D152,D153,D155,D156,D157)</f>
        <v>-214.01460361805118</v>
      </c>
      <c r="E154" s="92" t="s">
        <v>91</v>
      </c>
      <c r="F154" s="141" t="s">
        <v>3095</v>
      </c>
      <c r="I154" s="105"/>
      <c r="J154" s="105"/>
      <c r="K154" s="105"/>
    </row>
    <row r="155" spans="1:11" s="92" customFormat="1" ht="16" x14ac:dyDescent="0.2">
      <c r="D155" s="668">
        <v>0</v>
      </c>
      <c r="E155" s="92" t="s">
        <v>281</v>
      </c>
      <c r="F155" s="141" t="s">
        <v>3092</v>
      </c>
      <c r="I155" s="105"/>
      <c r="J155" s="105"/>
      <c r="K155" s="105"/>
    </row>
    <row r="156" spans="1:11" s="92" customFormat="1" ht="16" x14ac:dyDescent="0.2">
      <c r="D156" s="668">
        <f>I148</f>
        <v>10967.142500996717</v>
      </c>
      <c r="E156" s="92" t="s">
        <v>105</v>
      </c>
      <c r="F156" s="141" t="s">
        <v>3093</v>
      </c>
      <c r="I156" s="105"/>
      <c r="J156" s="105"/>
      <c r="K156" s="105"/>
    </row>
    <row r="157" spans="1:11" s="92" customFormat="1" ht="16" x14ac:dyDescent="0.2">
      <c r="D157" s="105">
        <v>0</v>
      </c>
      <c r="E157" s="92" t="s">
        <v>328</v>
      </c>
      <c r="F157" s="141" t="s">
        <v>3094</v>
      </c>
      <c r="I157" s="105"/>
      <c r="J157" s="105"/>
      <c r="K157" s="105"/>
    </row>
    <row r="158" spans="1:11" s="92" customFormat="1" ht="16" x14ac:dyDescent="0.2">
      <c r="E158" s="105"/>
      <c r="F158" s="105"/>
      <c r="I158" s="105"/>
      <c r="J158" s="105"/>
      <c r="K158" s="105"/>
    </row>
    <row r="159" spans="1:11" s="92" customFormat="1" ht="16" x14ac:dyDescent="0.2">
      <c r="A159" s="93" t="s">
        <v>3096</v>
      </c>
      <c r="E159" s="105"/>
      <c r="F159" s="105"/>
      <c r="I159" s="105"/>
      <c r="J159" s="105"/>
      <c r="K159" s="105"/>
    </row>
    <row r="160" spans="1:11" s="92" customFormat="1" ht="16" x14ac:dyDescent="0.2">
      <c r="E160" s="105"/>
      <c r="F160" s="105"/>
      <c r="I160" s="105"/>
      <c r="J160" s="105"/>
      <c r="K160" s="105"/>
    </row>
    <row r="161" spans="1:11" s="92" customFormat="1" ht="16" x14ac:dyDescent="0.2">
      <c r="A161" s="669" t="s">
        <v>3097</v>
      </c>
      <c r="B161" s="669"/>
      <c r="C161" s="669"/>
      <c r="D161" s="669"/>
      <c r="E161" s="670"/>
      <c r="F161" s="670"/>
      <c r="G161" s="669"/>
      <c r="H161" s="669"/>
      <c r="I161" s="105"/>
      <c r="J161" s="105"/>
      <c r="K161" s="105"/>
    </row>
    <row r="162" spans="1:11" s="92" customFormat="1" ht="16" x14ac:dyDescent="0.2">
      <c r="A162" s="92" t="s">
        <v>3098</v>
      </c>
      <c r="E162" s="105"/>
      <c r="F162" s="105"/>
      <c r="I162" s="105"/>
      <c r="J162" s="105"/>
      <c r="K162" s="105"/>
    </row>
    <row r="163" spans="1:11" s="92" customFormat="1" ht="16" x14ac:dyDescent="0.2">
      <c r="A163" s="92" t="s">
        <v>3099</v>
      </c>
      <c r="E163" s="105"/>
      <c r="F163" s="105"/>
      <c r="I163" s="105"/>
      <c r="J163" s="105"/>
      <c r="K163" s="105"/>
    </row>
    <row r="164" spans="1:11" s="92" customFormat="1" ht="16" x14ac:dyDescent="0.2">
      <c r="A164" s="92" t="s">
        <v>3100</v>
      </c>
      <c r="E164" s="105"/>
      <c r="F164" s="105"/>
      <c r="I164" s="105"/>
      <c r="J164" s="105"/>
      <c r="K164" s="105"/>
    </row>
    <row r="165" spans="1:11" s="92" customFormat="1" ht="16" x14ac:dyDescent="0.2">
      <c r="A165" s="92" t="s">
        <v>3101</v>
      </c>
      <c r="E165" s="105"/>
      <c r="F165" s="105"/>
      <c r="I165" s="105"/>
      <c r="J165" s="105"/>
      <c r="K165" s="105"/>
    </row>
    <row r="166" spans="1:11" s="92" customFormat="1" ht="17" thickBot="1" x14ac:dyDescent="0.25">
      <c r="E166" s="105"/>
      <c r="F166" s="105"/>
      <c r="I166" s="105"/>
      <c r="J166" s="105"/>
      <c r="K166" s="105"/>
    </row>
    <row r="167" spans="1:11" s="92" customFormat="1" ht="16" x14ac:dyDescent="0.2">
      <c r="B167" s="103"/>
      <c r="C167" s="96"/>
      <c r="D167" s="96"/>
      <c r="E167" s="474"/>
      <c r="F167" s="474" t="s">
        <v>3102</v>
      </c>
      <c r="G167" s="97"/>
      <c r="I167" s="105"/>
      <c r="J167" s="105"/>
      <c r="K167" s="105"/>
    </row>
    <row r="168" spans="1:11" s="92" customFormat="1" ht="16" x14ac:dyDescent="0.2">
      <c r="B168" s="98" t="s">
        <v>3110</v>
      </c>
      <c r="E168" s="105"/>
      <c r="F168" s="110" t="s">
        <v>3103</v>
      </c>
      <c r="G168" s="99"/>
      <c r="I168" s="105"/>
      <c r="J168" s="105"/>
      <c r="K168" s="105"/>
    </row>
    <row r="169" spans="1:11" s="92" customFormat="1" ht="16" x14ac:dyDescent="0.2">
      <c r="B169" s="98"/>
      <c r="E169" s="105"/>
      <c r="F169" s="105" t="s">
        <v>266</v>
      </c>
      <c r="G169" s="99" t="s">
        <v>87</v>
      </c>
      <c r="I169" s="105"/>
      <c r="J169" s="105"/>
      <c r="K169" s="105"/>
    </row>
    <row r="170" spans="1:11" s="92" customFormat="1" ht="16" x14ac:dyDescent="0.2">
      <c r="B170" s="98" t="s">
        <v>3111</v>
      </c>
      <c r="E170" s="105"/>
      <c r="F170" s="105" t="s">
        <v>3104</v>
      </c>
      <c r="G170" s="99" t="s">
        <v>89</v>
      </c>
      <c r="I170" s="105"/>
      <c r="J170" s="105"/>
      <c r="K170" s="105"/>
    </row>
    <row r="171" spans="1:11" s="92" customFormat="1" ht="16" x14ac:dyDescent="0.2">
      <c r="B171" s="98" t="s">
        <v>3108</v>
      </c>
      <c r="E171" s="105"/>
      <c r="F171" s="105" t="s">
        <v>3105</v>
      </c>
      <c r="G171" s="99" t="s">
        <v>91</v>
      </c>
      <c r="I171" s="105"/>
      <c r="J171" s="105"/>
      <c r="K171" s="105"/>
    </row>
    <row r="172" spans="1:11" s="92" customFormat="1" ht="16" x14ac:dyDescent="0.2">
      <c r="B172" s="98" t="s">
        <v>3109</v>
      </c>
      <c r="E172" s="105"/>
      <c r="F172" s="142" t="s">
        <v>3106</v>
      </c>
      <c r="G172" s="99" t="s">
        <v>281</v>
      </c>
      <c r="I172" s="105"/>
      <c r="J172" s="105"/>
      <c r="K172" s="105"/>
    </row>
    <row r="173" spans="1:11" s="92" customFormat="1" ht="16" x14ac:dyDescent="0.2">
      <c r="B173" s="98"/>
      <c r="E173" s="105"/>
      <c r="F173" s="105" t="s">
        <v>3107</v>
      </c>
      <c r="G173" s="99" t="s">
        <v>105</v>
      </c>
      <c r="I173" s="105"/>
      <c r="J173" s="105"/>
      <c r="K173" s="105"/>
    </row>
    <row r="174" spans="1:11" s="92" customFormat="1" ht="16" x14ac:dyDescent="0.2">
      <c r="B174" s="98" t="s">
        <v>3112</v>
      </c>
      <c r="E174" s="105"/>
      <c r="F174" s="105" t="s">
        <v>3103</v>
      </c>
      <c r="G174" s="99" t="s">
        <v>328</v>
      </c>
      <c r="I174" s="105"/>
      <c r="J174" s="105"/>
      <c r="K174" s="105"/>
    </row>
    <row r="175" spans="1:11" s="92" customFormat="1" ht="17" thickBot="1" x14ac:dyDescent="0.25">
      <c r="B175" s="100" t="s">
        <v>3113</v>
      </c>
      <c r="C175" s="101"/>
      <c r="D175" s="101"/>
      <c r="E175" s="475"/>
      <c r="F175" s="475"/>
      <c r="G175" s="102"/>
      <c r="I175" s="105"/>
      <c r="J175" s="105"/>
      <c r="K175" s="105"/>
    </row>
    <row r="176" spans="1:11" s="92" customFormat="1" ht="16" x14ac:dyDescent="0.2">
      <c r="E176" s="105"/>
      <c r="F176" s="105"/>
      <c r="I176" s="105"/>
      <c r="J176" s="105"/>
      <c r="K176" s="105"/>
    </row>
    <row r="177" spans="1:11" s="92" customFormat="1" ht="16" x14ac:dyDescent="0.2">
      <c r="B177" s="93" t="s">
        <v>3116</v>
      </c>
      <c r="E177" s="259" t="s">
        <v>3115</v>
      </c>
      <c r="F177" s="259" t="s">
        <v>3114</v>
      </c>
      <c r="I177" s="105"/>
      <c r="J177" s="105"/>
      <c r="K177" s="105"/>
    </row>
    <row r="178" spans="1:11" s="92" customFormat="1" ht="16" x14ac:dyDescent="0.2">
      <c r="E178" s="122">
        <v>5.0000000000000001E-3</v>
      </c>
      <c r="F178" s="122">
        <v>5.0000000000000001E-3</v>
      </c>
      <c r="G178" s="92" t="s">
        <v>87</v>
      </c>
      <c r="I178" s="105"/>
      <c r="J178" s="105"/>
      <c r="K178" s="105"/>
    </row>
    <row r="179" spans="1:11" s="92" customFormat="1" ht="16" x14ac:dyDescent="0.2">
      <c r="B179" s="93" t="s">
        <v>3117</v>
      </c>
      <c r="E179" s="105">
        <f>4*12</f>
        <v>48</v>
      </c>
      <c r="F179" s="105">
        <f>12*6</f>
        <v>72</v>
      </c>
      <c r="G179" s="92" t="s">
        <v>89</v>
      </c>
      <c r="I179" s="105"/>
      <c r="J179" s="105"/>
      <c r="K179" s="105"/>
    </row>
    <row r="180" spans="1:11" s="92" customFormat="1" ht="16" x14ac:dyDescent="0.2">
      <c r="B180" s="93" t="s">
        <v>3118</v>
      </c>
      <c r="E180" s="629">
        <f>PMT(E178,E179,E181,E182,0)</f>
        <v>-3166.1605647479464</v>
      </c>
      <c r="F180" s="105">
        <v>2000</v>
      </c>
      <c r="G180" s="92" t="s">
        <v>91</v>
      </c>
    </row>
    <row r="181" spans="1:11" s="92" customFormat="1" ht="16" x14ac:dyDescent="0.2">
      <c r="B181" s="93" t="s">
        <v>3119</v>
      </c>
      <c r="E181" s="105">
        <v>0</v>
      </c>
      <c r="F181" s="106">
        <f>PV(F178,F179,F180,F182,F183)</f>
        <v>-121282.42301039494</v>
      </c>
      <c r="G181" s="92" t="s">
        <v>281</v>
      </c>
    </row>
    <row r="182" spans="1:11" s="92" customFormat="1" ht="16" x14ac:dyDescent="0.2">
      <c r="B182" s="93" t="s">
        <v>3120</v>
      </c>
      <c r="E182" s="106">
        <f>-F181+50000</f>
        <v>171282.42301039494</v>
      </c>
      <c r="F182" s="105">
        <v>0</v>
      </c>
      <c r="G182" s="92" t="s">
        <v>105</v>
      </c>
    </row>
    <row r="183" spans="1:11" s="92" customFormat="1" ht="16" x14ac:dyDescent="0.2">
      <c r="B183" s="93" t="s">
        <v>3121</v>
      </c>
      <c r="E183" s="105">
        <v>0</v>
      </c>
      <c r="F183" s="105">
        <v>1</v>
      </c>
      <c r="G183" s="92" t="s">
        <v>328</v>
      </c>
    </row>
    <row r="184" spans="1:11" s="92" customFormat="1" ht="16" x14ac:dyDescent="0.2"/>
    <row r="185" spans="1:11" s="92" customFormat="1" ht="16" x14ac:dyDescent="0.2"/>
    <row r="186" spans="1:11" s="92" customFormat="1" ht="16" x14ac:dyDescent="0.2">
      <c r="A186" s="94" t="s">
        <v>880</v>
      </c>
      <c r="B186" s="94" t="s">
        <v>881</v>
      </c>
      <c r="C186" s="94"/>
      <c r="D186" s="94"/>
      <c r="E186" s="94"/>
      <c r="F186" s="94"/>
      <c r="G186" s="94"/>
      <c r="H186" s="94"/>
    </row>
    <row r="187" spans="1:11" s="92" customFormat="1" ht="16" x14ac:dyDescent="0.2"/>
    <row r="188" spans="1:11" s="92" customFormat="1" ht="16" x14ac:dyDescent="0.2">
      <c r="A188" s="92" t="s">
        <v>882</v>
      </c>
    </row>
    <row r="189" spans="1:11" s="92" customFormat="1" ht="16" x14ac:dyDescent="0.2">
      <c r="A189" s="92" t="s">
        <v>883</v>
      </c>
    </row>
    <row r="190" spans="1:11" s="92" customFormat="1" ht="16" x14ac:dyDescent="0.2">
      <c r="A190" s="92" t="s">
        <v>884</v>
      </c>
    </row>
    <row r="191" spans="1:11" s="92" customFormat="1" ht="16" x14ac:dyDescent="0.2"/>
    <row r="192" spans="1:11" s="92" customFormat="1" ht="16" x14ac:dyDescent="0.2">
      <c r="A192" s="92" t="s">
        <v>885</v>
      </c>
    </row>
    <row r="193" spans="1:9" s="92" customFormat="1" ht="16" x14ac:dyDescent="0.2"/>
    <row r="194" spans="1:9" s="92" customFormat="1" ht="16" x14ac:dyDescent="0.2">
      <c r="A194" s="110" t="s">
        <v>886</v>
      </c>
      <c r="B194" s="110" t="s">
        <v>887</v>
      </c>
      <c r="C194" s="111" t="s">
        <v>888</v>
      </c>
      <c r="F194" s="105" t="s">
        <v>889</v>
      </c>
      <c r="G194" s="105" t="s">
        <v>890</v>
      </c>
      <c r="H194" s="105" t="s">
        <v>891</v>
      </c>
    </row>
    <row r="195" spans="1:9" s="92" customFormat="1" ht="16" x14ac:dyDescent="0.2">
      <c r="A195" s="105">
        <v>0</v>
      </c>
      <c r="B195" s="105"/>
      <c r="C195" s="469"/>
      <c r="F195" s="105" t="s">
        <v>892</v>
      </c>
      <c r="G195" s="105" t="s">
        <v>893</v>
      </c>
      <c r="H195" s="105" t="s">
        <v>894</v>
      </c>
    </row>
    <row r="196" spans="1:9" s="92" customFormat="1" ht="16" x14ac:dyDescent="0.2">
      <c r="A196" s="105">
        <v>1</v>
      </c>
      <c r="B196" s="105"/>
      <c r="C196" s="469"/>
      <c r="F196" s="105" t="s">
        <v>895</v>
      </c>
      <c r="G196" s="105" t="s">
        <v>896</v>
      </c>
      <c r="H196" s="105" t="s">
        <v>897</v>
      </c>
    </row>
    <row r="197" spans="1:9" s="92" customFormat="1" ht="16" x14ac:dyDescent="0.2">
      <c r="A197" s="105">
        <v>2</v>
      </c>
      <c r="B197" s="105"/>
      <c r="C197" s="469"/>
      <c r="E197" s="92" t="s">
        <v>898</v>
      </c>
      <c r="F197" s="110" t="s">
        <v>899</v>
      </c>
      <c r="G197" s="110" t="s">
        <v>900</v>
      </c>
      <c r="H197" s="110" t="s">
        <v>901</v>
      </c>
    </row>
    <row r="198" spans="1:9" s="92" customFormat="1" ht="16" x14ac:dyDescent="0.2">
      <c r="A198" s="105" t="s">
        <v>566</v>
      </c>
      <c r="B198" s="105"/>
      <c r="C198" s="469"/>
      <c r="E198" s="92" t="s">
        <v>902</v>
      </c>
      <c r="F198" s="108">
        <v>5.0000000000000001E-3</v>
      </c>
      <c r="G198" s="105"/>
      <c r="H198" s="108">
        <v>5.0000000000000001E-3</v>
      </c>
      <c r="I198" s="92" t="s">
        <v>87</v>
      </c>
    </row>
    <row r="199" spans="1:9" s="92" customFormat="1" ht="16" x14ac:dyDescent="0.2">
      <c r="A199" s="105" t="s">
        <v>566</v>
      </c>
      <c r="B199" s="105"/>
      <c r="C199" s="469"/>
      <c r="E199" s="92" t="s">
        <v>903</v>
      </c>
      <c r="F199" s="105">
        <v>14</v>
      </c>
      <c r="G199" s="105"/>
      <c r="H199" s="105">
        <v>11</v>
      </c>
      <c r="I199" s="92" t="s">
        <v>89</v>
      </c>
    </row>
    <row r="200" spans="1:9" s="92" customFormat="1" ht="16" x14ac:dyDescent="0.2">
      <c r="A200" s="110">
        <v>14</v>
      </c>
      <c r="B200" s="472">
        <v>10000</v>
      </c>
      <c r="C200" s="471">
        <v>800</v>
      </c>
      <c r="E200" s="92" t="s">
        <v>904</v>
      </c>
      <c r="F200" s="105">
        <v>0</v>
      </c>
      <c r="G200" s="105"/>
      <c r="H200" s="458">
        <f>PV(H198,H199,H201,H202,H203)</f>
        <v>-8541.6213817201678</v>
      </c>
      <c r="I200" s="92" t="s">
        <v>281</v>
      </c>
    </row>
    <row r="201" spans="1:9" s="92" customFormat="1" ht="16" x14ac:dyDescent="0.2">
      <c r="A201" s="105">
        <v>15</v>
      </c>
      <c r="B201" s="142"/>
      <c r="C201" s="142">
        <f>C200</f>
        <v>800</v>
      </c>
      <c r="E201" s="92" t="s">
        <v>905</v>
      </c>
      <c r="F201" s="470">
        <f>PMT(F198,F199,F200,F202,F203)</f>
        <v>-1337.2040001294445</v>
      </c>
      <c r="G201" s="105"/>
      <c r="H201" s="105">
        <v>800</v>
      </c>
      <c r="I201" s="92" t="s">
        <v>91</v>
      </c>
    </row>
    <row r="202" spans="1:9" s="92" customFormat="1" ht="16" x14ac:dyDescent="0.2">
      <c r="A202" s="105" t="s">
        <v>566</v>
      </c>
      <c r="B202" s="142"/>
      <c r="C202" s="142">
        <f>C201</f>
        <v>800</v>
      </c>
      <c r="F202" s="112">
        <f>-H200+B200+C200</f>
        <v>19341.621381720168</v>
      </c>
      <c r="G202" s="467" t="s">
        <v>906</v>
      </c>
      <c r="H202" s="105">
        <v>0</v>
      </c>
      <c r="I202" s="92" t="s">
        <v>105</v>
      </c>
    </row>
    <row r="203" spans="1:9" s="92" customFormat="1" ht="16" x14ac:dyDescent="0.2">
      <c r="A203" s="105" t="s">
        <v>566</v>
      </c>
      <c r="B203" s="142"/>
      <c r="C203" s="142">
        <f>C202</f>
        <v>800</v>
      </c>
      <c r="F203" s="105">
        <v>0</v>
      </c>
      <c r="G203" s="105"/>
      <c r="H203" s="105">
        <v>0</v>
      </c>
      <c r="I203" s="92" t="s">
        <v>328</v>
      </c>
    </row>
    <row r="204" spans="1:9" s="92" customFormat="1" ht="16" x14ac:dyDescent="0.2">
      <c r="A204" s="105">
        <v>25</v>
      </c>
      <c r="B204" s="142"/>
      <c r="C204" s="142">
        <f>C203</f>
        <v>800</v>
      </c>
    </row>
    <row r="205" spans="1:9" s="92" customFormat="1" ht="16" x14ac:dyDescent="0.2">
      <c r="F205" s="105" t="s">
        <v>889</v>
      </c>
      <c r="G205" s="105" t="s">
        <v>890</v>
      </c>
      <c r="H205" s="105" t="s">
        <v>891</v>
      </c>
    </row>
    <row r="206" spans="1:9" s="92" customFormat="1" ht="16" x14ac:dyDescent="0.2">
      <c r="F206" s="105" t="s">
        <v>892</v>
      </c>
      <c r="G206" s="105" t="s">
        <v>893</v>
      </c>
      <c r="H206" s="105" t="s">
        <v>894</v>
      </c>
    </row>
    <row r="207" spans="1:9" s="92" customFormat="1" ht="16" x14ac:dyDescent="0.2">
      <c r="F207" s="105" t="s">
        <v>895</v>
      </c>
      <c r="G207" s="105" t="s">
        <v>896</v>
      </c>
      <c r="H207" s="105" t="s">
        <v>897</v>
      </c>
    </row>
    <row r="208" spans="1:9" s="92" customFormat="1" ht="16" x14ac:dyDescent="0.2">
      <c r="E208" s="92" t="s">
        <v>907</v>
      </c>
      <c r="F208" s="110" t="s">
        <v>899</v>
      </c>
      <c r="G208" s="110" t="s">
        <v>900</v>
      </c>
      <c r="H208" s="110" t="s">
        <v>901</v>
      </c>
    </row>
    <row r="209" spans="1:9" s="92" customFormat="1" ht="16" x14ac:dyDescent="0.2">
      <c r="E209" s="92" t="s">
        <v>908</v>
      </c>
      <c r="F209" s="108">
        <v>5.0000000000000001E-3</v>
      </c>
      <c r="G209" s="105"/>
      <c r="H209" s="108">
        <v>5.0000000000000001E-3</v>
      </c>
      <c r="I209" s="92" t="s">
        <v>87</v>
      </c>
    </row>
    <row r="210" spans="1:9" s="92" customFormat="1" ht="16" x14ac:dyDescent="0.2">
      <c r="E210" s="92" t="s">
        <v>909</v>
      </c>
      <c r="F210" s="105">
        <v>14</v>
      </c>
      <c r="G210" s="105"/>
      <c r="H210" s="105">
        <v>12</v>
      </c>
      <c r="I210" s="92" t="s">
        <v>89</v>
      </c>
    </row>
    <row r="211" spans="1:9" s="92" customFormat="1" ht="16" x14ac:dyDescent="0.2">
      <c r="E211" s="92" t="s">
        <v>910</v>
      </c>
      <c r="F211" s="105">
        <v>0</v>
      </c>
      <c r="G211" s="105"/>
      <c r="H211" s="458">
        <f>PV(H209,H210,H212,H213,H214)</f>
        <v>-9341.6213817201133</v>
      </c>
      <c r="I211" s="92" t="s">
        <v>281</v>
      </c>
    </row>
    <row r="212" spans="1:9" s="92" customFormat="1" ht="16" x14ac:dyDescent="0.2">
      <c r="E212" s="92" t="s">
        <v>911</v>
      </c>
      <c r="F212" s="470">
        <f>PMT(F209,F210,F211,F213,F214)</f>
        <v>-1337.2040001294406</v>
      </c>
      <c r="G212" s="105"/>
      <c r="H212" s="105">
        <v>800</v>
      </c>
      <c r="I212" s="92" t="s">
        <v>91</v>
      </c>
    </row>
    <row r="213" spans="1:9" s="92" customFormat="1" ht="16" x14ac:dyDescent="0.2">
      <c r="F213" s="112">
        <f>-H211+B200</f>
        <v>19341.621381720113</v>
      </c>
      <c r="G213" s="467" t="s">
        <v>912</v>
      </c>
      <c r="H213" s="105">
        <v>0</v>
      </c>
      <c r="I213" s="92" t="s">
        <v>105</v>
      </c>
    </row>
    <row r="214" spans="1:9" s="92" customFormat="1" ht="16" x14ac:dyDescent="0.2">
      <c r="F214" s="105">
        <v>0</v>
      </c>
      <c r="G214" s="105"/>
      <c r="H214" s="105">
        <v>1</v>
      </c>
      <c r="I214" s="92" t="s">
        <v>328</v>
      </c>
    </row>
    <row r="215" spans="1:9" s="92" customFormat="1" ht="16" x14ac:dyDescent="0.2"/>
    <row r="216" spans="1:9" s="92" customFormat="1" ht="16" x14ac:dyDescent="0.2"/>
    <row r="217" spans="1:9" s="92" customFormat="1" ht="16" x14ac:dyDescent="0.2"/>
    <row r="218" spans="1:9" s="92" customFormat="1" ht="16" x14ac:dyDescent="0.2"/>
    <row r="219" spans="1:9" s="92" customFormat="1" ht="16" x14ac:dyDescent="0.2"/>
    <row r="220" spans="1:9" s="92" customFormat="1" ht="16" x14ac:dyDescent="0.2">
      <c r="A220" s="94" t="s">
        <v>729</v>
      </c>
      <c r="B220" s="94" t="s">
        <v>808</v>
      </c>
      <c r="C220" s="94"/>
      <c r="D220" s="94"/>
      <c r="E220" s="94"/>
      <c r="F220" s="94"/>
      <c r="G220" s="94"/>
      <c r="H220" s="94"/>
    </row>
    <row r="221" spans="1:9" s="92" customFormat="1" ht="16" x14ac:dyDescent="0.2">
      <c r="A221" s="92" t="s">
        <v>913</v>
      </c>
    </row>
    <row r="222" spans="1:9" s="92" customFormat="1" ht="16" x14ac:dyDescent="0.2">
      <c r="A222" s="92" t="s">
        <v>914</v>
      </c>
    </row>
    <row r="223" spans="1:9" s="92" customFormat="1" ht="16" x14ac:dyDescent="0.2">
      <c r="A223" s="92" t="s">
        <v>915</v>
      </c>
    </row>
    <row r="224" spans="1:9" s="92" customFormat="1" ht="16" x14ac:dyDescent="0.2">
      <c r="A224" s="92" t="s">
        <v>916</v>
      </c>
    </row>
    <row r="225" spans="1:7" s="92" customFormat="1" ht="16" x14ac:dyDescent="0.2"/>
    <row r="226" spans="1:7" s="92" customFormat="1" ht="16" x14ac:dyDescent="0.2">
      <c r="A226" s="92" t="s">
        <v>917</v>
      </c>
    </row>
    <row r="227" spans="1:7" s="92" customFormat="1" ht="16" x14ac:dyDescent="0.2"/>
    <row r="228" spans="1:7" s="92" customFormat="1" ht="16" x14ac:dyDescent="0.2">
      <c r="A228" s="110" t="s">
        <v>918</v>
      </c>
      <c r="B228" s="110" t="s">
        <v>895</v>
      </c>
      <c r="C228" s="110" t="s">
        <v>829</v>
      </c>
      <c r="F228" s="110" t="s">
        <v>919</v>
      </c>
      <c r="G228" s="110"/>
    </row>
    <row r="229" spans="1:7" s="92" customFormat="1" ht="16" x14ac:dyDescent="0.2">
      <c r="A229" s="105">
        <v>2</v>
      </c>
      <c r="B229" s="105">
        <v>500</v>
      </c>
      <c r="C229" s="736" t="s">
        <v>920</v>
      </c>
      <c r="F229" s="105">
        <v>0</v>
      </c>
      <c r="G229" s="114">
        <f>-C240</f>
        <v>1270.2205233101586</v>
      </c>
    </row>
    <row r="230" spans="1:7" s="92" customFormat="1" ht="16" x14ac:dyDescent="0.2">
      <c r="A230" s="105">
        <v>4</v>
      </c>
      <c r="B230" s="105">
        <f>B229</f>
        <v>500</v>
      </c>
      <c r="C230" s="737"/>
      <c r="G230" s="92" t="s">
        <v>921</v>
      </c>
    </row>
    <row r="231" spans="1:7" s="92" customFormat="1" ht="16" x14ac:dyDescent="0.2">
      <c r="A231" s="105">
        <v>6</v>
      </c>
      <c r="B231" s="105">
        <f>B230</f>
        <v>500</v>
      </c>
      <c r="C231" s="737"/>
    </row>
    <row r="232" spans="1:7" s="92" customFormat="1" ht="16" x14ac:dyDescent="0.2">
      <c r="A232" s="105">
        <v>8</v>
      </c>
      <c r="B232" s="105">
        <f>B231</f>
        <v>500</v>
      </c>
      <c r="C232" s="737"/>
    </row>
    <row r="233" spans="1:7" s="92" customFormat="1" ht="16" x14ac:dyDescent="0.2"/>
    <row r="234" spans="1:7" s="92" customFormat="1" ht="16" x14ac:dyDescent="0.2">
      <c r="A234" s="92" t="s">
        <v>922</v>
      </c>
    </row>
    <row r="235" spans="1:7" s="92" customFormat="1" ht="16" x14ac:dyDescent="0.2"/>
    <row r="236" spans="1:7" s="92" customFormat="1" ht="16" x14ac:dyDescent="0.2">
      <c r="C236" s="105" t="s">
        <v>918</v>
      </c>
    </row>
    <row r="237" spans="1:7" s="92" customFormat="1" ht="16" x14ac:dyDescent="0.2">
      <c r="C237" s="110" t="s">
        <v>923</v>
      </c>
    </row>
    <row r="238" spans="1:7" s="92" customFormat="1" ht="16" x14ac:dyDescent="0.2">
      <c r="C238" s="104">
        <v>0.21</v>
      </c>
      <c r="D238" s="92" t="s">
        <v>87</v>
      </c>
    </row>
    <row r="239" spans="1:7" s="92" customFormat="1" ht="16" x14ac:dyDescent="0.2">
      <c r="C239" s="105">
        <v>4</v>
      </c>
      <c r="D239" s="92" t="s">
        <v>89</v>
      </c>
    </row>
    <row r="240" spans="1:7" s="92" customFormat="1" ht="16" x14ac:dyDescent="0.2">
      <c r="C240" s="114">
        <f>PV(C238,C239,C241,C242,C243)</f>
        <v>-1270.2205233101586</v>
      </c>
      <c r="D240" s="92" t="s">
        <v>281</v>
      </c>
    </row>
    <row r="241" spans="1:8" s="92" customFormat="1" ht="16" x14ac:dyDescent="0.2">
      <c r="C241" s="112">
        <f>B232</f>
        <v>500</v>
      </c>
      <c r="D241" s="92" t="s">
        <v>91</v>
      </c>
    </row>
    <row r="242" spans="1:8" s="92" customFormat="1" ht="16" x14ac:dyDescent="0.2">
      <c r="C242" s="105">
        <v>0</v>
      </c>
      <c r="D242" s="92" t="s">
        <v>105</v>
      </c>
    </row>
    <row r="243" spans="1:8" s="92" customFormat="1" ht="16" x14ac:dyDescent="0.2">
      <c r="C243" s="105">
        <v>0</v>
      </c>
      <c r="D243" s="92" t="s">
        <v>328</v>
      </c>
    </row>
    <row r="244" spans="1:8" s="92" customFormat="1" ht="16" x14ac:dyDescent="0.2"/>
    <row r="245" spans="1:8" s="92" customFormat="1" ht="16" x14ac:dyDescent="0.2">
      <c r="A245" s="94" t="s">
        <v>924</v>
      </c>
      <c r="B245" s="94" t="s">
        <v>925</v>
      </c>
      <c r="C245" s="94"/>
      <c r="D245" s="94"/>
      <c r="E245" s="94"/>
      <c r="F245" s="94"/>
      <c r="G245" s="94"/>
      <c r="H245" s="94"/>
    </row>
    <row r="246" spans="1:8" s="92" customFormat="1" ht="16" x14ac:dyDescent="0.2">
      <c r="A246" s="92" t="s">
        <v>926</v>
      </c>
    </row>
    <row r="247" spans="1:8" s="92" customFormat="1" ht="16" x14ac:dyDescent="0.2">
      <c r="A247" s="92" t="s">
        <v>927</v>
      </c>
    </row>
    <row r="248" spans="1:8" s="92" customFormat="1" ht="16" x14ac:dyDescent="0.2">
      <c r="A248" s="92" t="s">
        <v>928</v>
      </c>
    </row>
    <row r="249" spans="1:8" s="92" customFormat="1" ht="16" x14ac:dyDescent="0.2"/>
    <row r="250" spans="1:8" s="92" customFormat="1" ht="16" x14ac:dyDescent="0.2">
      <c r="A250" s="93" t="s">
        <v>929</v>
      </c>
      <c r="B250" s="93"/>
      <c r="C250" s="93"/>
      <c r="D250" s="93"/>
      <c r="E250" s="93"/>
      <c r="F250" s="93"/>
      <c r="G250" s="93"/>
      <c r="H250" s="93"/>
    </row>
    <row r="251" spans="1:8" s="92" customFormat="1" ht="16" x14ac:dyDescent="0.2"/>
    <row r="252" spans="1:8" s="92" customFormat="1" ht="16" x14ac:dyDescent="0.2">
      <c r="A252" s="92" t="s">
        <v>930</v>
      </c>
    </row>
    <row r="253" spans="1:8" s="92" customFormat="1" ht="16" x14ac:dyDescent="0.2"/>
    <row r="254" spans="1:8" s="92" customFormat="1" ht="16" x14ac:dyDescent="0.2">
      <c r="A254" s="92" t="s">
        <v>931</v>
      </c>
    </row>
    <row r="255" spans="1:8" s="92" customFormat="1" ht="16" x14ac:dyDescent="0.2">
      <c r="A255" s="92" t="s">
        <v>932</v>
      </c>
    </row>
    <row r="256" spans="1:8" s="92" customFormat="1" ht="16" x14ac:dyDescent="0.2">
      <c r="A256" s="92" t="s">
        <v>933</v>
      </c>
    </row>
    <row r="257" spans="1:8" s="92" customFormat="1" ht="16" x14ac:dyDescent="0.2"/>
    <row r="258" spans="1:8" s="92" customFormat="1" ht="16" x14ac:dyDescent="0.2">
      <c r="A258" s="92" t="s">
        <v>934</v>
      </c>
    </row>
    <row r="259" spans="1:8" s="92" customFormat="1" ht="16" x14ac:dyDescent="0.2">
      <c r="A259" s="93" t="s">
        <v>935</v>
      </c>
      <c r="B259" s="93"/>
    </row>
    <row r="260" spans="1:8" s="92" customFormat="1" ht="16" x14ac:dyDescent="0.2">
      <c r="A260" s="93" t="s">
        <v>936</v>
      </c>
      <c r="B260" s="93"/>
    </row>
    <row r="261" spans="1:8" s="92" customFormat="1" ht="16" x14ac:dyDescent="0.2">
      <c r="A261" s="92" t="s">
        <v>937</v>
      </c>
    </row>
    <row r="262" spans="1:8" s="92" customFormat="1" ht="16" x14ac:dyDescent="0.2"/>
    <row r="263" spans="1:8" s="92" customFormat="1" ht="16" x14ac:dyDescent="0.2">
      <c r="A263" s="117" t="s">
        <v>938</v>
      </c>
      <c r="B263" s="117"/>
      <c r="C263" s="117"/>
      <c r="D263" s="117"/>
      <c r="E263" s="117"/>
      <c r="F263" s="117"/>
      <c r="G263" s="117"/>
      <c r="H263" s="117"/>
    </row>
    <row r="264" spans="1:8" s="92" customFormat="1" ht="16" x14ac:dyDescent="0.2">
      <c r="A264" s="117" t="s">
        <v>939</v>
      </c>
      <c r="B264" s="117"/>
      <c r="C264" s="117"/>
      <c r="D264" s="117"/>
      <c r="E264" s="117"/>
      <c r="F264" s="117"/>
      <c r="G264" s="117"/>
      <c r="H264" s="117"/>
    </row>
    <row r="265" spans="1:8" s="92" customFormat="1" ht="16" x14ac:dyDescent="0.2"/>
    <row r="266" spans="1:8" s="92" customFormat="1" ht="16" x14ac:dyDescent="0.2">
      <c r="A266" s="92" t="s">
        <v>940</v>
      </c>
    </row>
    <row r="267" spans="1:8" s="92" customFormat="1" ht="16" x14ac:dyDescent="0.2">
      <c r="A267" s="92" t="s">
        <v>928</v>
      </c>
    </row>
    <row r="268" spans="1:8" s="92" customFormat="1" ht="16" x14ac:dyDescent="0.2"/>
    <row r="269" spans="1:8" s="92" customFormat="1" ht="16" x14ac:dyDescent="0.2">
      <c r="A269" s="93" t="s">
        <v>941</v>
      </c>
      <c r="D269" s="92" t="s">
        <v>942</v>
      </c>
    </row>
    <row r="270" spans="1:8" s="92" customFormat="1" ht="16" x14ac:dyDescent="0.2">
      <c r="F270" s="108">
        <v>5.0000000000000001E-3</v>
      </c>
      <c r="G270" s="92" t="s">
        <v>87</v>
      </c>
    </row>
    <row r="271" spans="1:8" s="92" customFormat="1" ht="16" x14ac:dyDescent="0.2">
      <c r="A271" s="92" t="s">
        <v>943</v>
      </c>
      <c r="F271" s="105">
        <f>18*12</f>
        <v>216</v>
      </c>
      <c r="G271" s="92" t="s">
        <v>89</v>
      </c>
    </row>
    <row r="272" spans="1:8" s="92" customFormat="1" ht="16" x14ac:dyDescent="0.2">
      <c r="F272" s="112">
        <v>15000</v>
      </c>
      <c r="G272" s="92" t="s">
        <v>91</v>
      </c>
    </row>
    <row r="273" spans="1:7" s="92" customFormat="1" ht="16" x14ac:dyDescent="0.2">
      <c r="F273" s="114">
        <f>PV(F270,F271,F272,F274,F275)</f>
        <v>-1988360.4826842579</v>
      </c>
      <c r="G273" s="92" t="s">
        <v>281</v>
      </c>
    </row>
    <row r="274" spans="1:7" s="92" customFormat="1" ht="16" x14ac:dyDescent="0.2">
      <c r="A274" s="92" t="s">
        <v>944</v>
      </c>
      <c r="F274" s="105">
        <v>0</v>
      </c>
      <c r="G274" s="92" t="s">
        <v>105</v>
      </c>
    </row>
    <row r="275" spans="1:7" s="92" customFormat="1" ht="16" x14ac:dyDescent="0.2">
      <c r="A275" s="92" t="s">
        <v>945</v>
      </c>
      <c r="F275" s="105">
        <v>1</v>
      </c>
      <c r="G275" s="92" t="s">
        <v>328</v>
      </c>
    </row>
    <row r="276" spans="1:7" s="92" customFormat="1" ht="16" x14ac:dyDescent="0.2"/>
    <row r="277" spans="1:7" s="92" customFormat="1" ht="16" x14ac:dyDescent="0.2">
      <c r="A277" s="92" t="s">
        <v>946</v>
      </c>
    </row>
    <row r="278" spans="1:7" s="92" customFormat="1" ht="16" x14ac:dyDescent="0.2">
      <c r="A278" s="92" t="s">
        <v>947</v>
      </c>
    </row>
    <row r="279" spans="1:7" s="92" customFormat="1" ht="16" x14ac:dyDescent="0.2"/>
    <row r="280" spans="1:7" s="92" customFormat="1" ht="16" x14ac:dyDescent="0.2">
      <c r="A280" s="93" t="s">
        <v>948</v>
      </c>
      <c r="D280" s="92" t="s">
        <v>949</v>
      </c>
    </row>
    <row r="281" spans="1:7" s="92" customFormat="1" ht="16" x14ac:dyDescent="0.2">
      <c r="A281" s="93"/>
      <c r="F281" s="108">
        <v>5.0000000000000001E-3</v>
      </c>
      <c r="G281" s="92" t="s">
        <v>87</v>
      </c>
    </row>
    <row r="282" spans="1:7" s="92" customFormat="1" ht="16" x14ac:dyDescent="0.2">
      <c r="A282" s="92" t="s">
        <v>950</v>
      </c>
      <c r="F282" s="105">
        <f>42*12</f>
        <v>504</v>
      </c>
      <c r="G282" s="92" t="s">
        <v>89</v>
      </c>
    </row>
    <row r="283" spans="1:7" s="92" customFormat="1" ht="16" x14ac:dyDescent="0.2">
      <c r="A283" s="93"/>
      <c r="D283" s="92" t="s">
        <v>952</v>
      </c>
      <c r="F283" s="118">
        <f>PMT(F281,F282,F284,F285,F286)</f>
        <v>-875.8679135166667</v>
      </c>
      <c r="G283" s="92" t="s">
        <v>91</v>
      </c>
    </row>
    <row r="284" spans="1:7" s="92" customFormat="1" ht="16" x14ac:dyDescent="0.2">
      <c r="A284" s="93"/>
      <c r="D284" s="92" t="s">
        <v>951</v>
      </c>
      <c r="F284" s="105">
        <v>0</v>
      </c>
      <c r="G284" s="92" t="s">
        <v>281</v>
      </c>
    </row>
    <row r="285" spans="1:7" s="92" customFormat="1" ht="16" x14ac:dyDescent="0.2">
      <c r="D285" s="92" t="s">
        <v>953</v>
      </c>
      <c r="F285" s="114">
        <f>-F273</f>
        <v>1988360.4826842579</v>
      </c>
      <c r="G285" s="92" t="s">
        <v>105</v>
      </c>
    </row>
    <row r="286" spans="1:7" s="92" customFormat="1" ht="16" x14ac:dyDescent="0.2">
      <c r="D286" s="92" t="s">
        <v>954</v>
      </c>
      <c r="F286" s="105">
        <v>0</v>
      </c>
      <c r="G286" s="92" t="s">
        <v>328</v>
      </c>
    </row>
    <row r="287" spans="1:7" s="92" customFormat="1" ht="16" x14ac:dyDescent="0.2"/>
    <row r="288" spans="1:7" s="92" customFormat="1" ht="16" x14ac:dyDescent="0.2">
      <c r="A288" s="93" t="s">
        <v>955</v>
      </c>
    </row>
    <row r="289" spans="1:8" s="92" customFormat="1" ht="16" x14ac:dyDescent="0.2"/>
    <row r="290" spans="1:8" s="92" customFormat="1" ht="16" x14ac:dyDescent="0.2">
      <c r="A290" s="94" t="s">
        <v>956</v>
      </c>
      <c r="B290" s="94" t="s">
        <v>815</v>
      </c>
      <c r="C290" s="94"/>
      <c r="D290" s="94"/>
      <c r="E290" s="94"/>
      <c r="F290" s="94"/>
      <c r="G290" s="94"/>
      <c r="H290" s="94"/>
    </row>
    <row r="291" spans="1:8" s="92" customFormat="1" ht="16" x14ac:dyDescent="0.2">
      <c r="A291" s="92" t="s">
        <v>957</v>
      </c>
    </row>
    <row r="292" spans="1:8" s="92" customFormat="1" ht="16" x14ac:dyDescent="0.2">
      <c r="A292" s="92" t="s">
        <v>958</v>
      </c>
    </row>
    <row r="293" spans="1:8" s="92" customFormat="1" ht="16" x14ac:dyDescent="0.2"/>
    <row r="294" spans="1:8" s="92" customFormat="1" ht="16" x14ac:dyDescent="0.2">
      <c r="A294" s="92" t="s">
        <v>959</v>
      </c>
    </row>
    <row r="295" spans="1:8" s="92" customFormat="1" ht="16" x14ac:dyDescent="0.2"/>
    <row r="296" spans="1:8" s="92" customFormat="1" ht="16" x14ac:dyDescent="0.2">
      <c r="A296" s="92" t="s">
        <v>321</v>
      </c>
    </row>
    <row r="297" spans="1:8" s="92" customFormat="1" ht="16" x14ac:dyDescent="0.2">
      <c r="A297" s="92" t="s">
        <v>960</v>
      </c>
    </row>
    <row r="298" spans="1:8" s="92" customFormat="1" ht="16" x14ac:dyDescent="0.2">
      <c r="A298" s="92" t="s">
        <v>961</v>
      </c>
    </row>
    <row r="299" spans="1:8" s="92" customFormat="1" ht="16" x14ac:dyDescent="0.2">
      <c r="A299" s="92" t="s">
        <v>962</v>
      </c>
    </row>
    <row r="300" spans="1:8" s="92" customFormat="1" ht="16" x14ac:dyDescent="0.2"/>
    <row r="301" spans="1:8" s="92" customFormat="1" ht="16" x14ac:dyDescent="0.2">
      <c r="A301" s="93" t="s">
        <v>963</v>
      </c>
    </row>
    <row r="302" spans="1:8" s="92" customFormat="1" ht="16" x14ac:dyDescent="0.2">
      <c r="B302" s="111" t="s">
        <v>964</v>
      </c>
      <c r="C302" s="111"/>
      <c r="F302" s="111" t="s">
        <v>965</v>
      </c>
      <c r="G302" s="111"/>
    </row>
    <row r="303" spans="1:8" s="92" customFormat="1" ht="16" x14ac:dyDescent="0.2">
      <c r="B303" s="108">
        <v>0.08</v>
      </c>
      <c r="C303" s="92" t="s">
        <v>87</v>
      </c>
      <c r="F303" s="109">
        <v>700000</v>
      </c>
      <c r="G303" s="92" t="s">
        <v>686</v>
      </c>
    </row>
    <row r="304" spans="1:8" s="92" customFormat="1" ht="16" x14ac:dyDescent="0.2">
      <c r="B304" s="105">
        <v>10</v>
      </c>
      <c r="C304" s="92" t="s">
        <v>89</v>
      </c>
    </row>
    <row r="305" spans="1:6" s="92" customFormat="1" ht="16" x14ac:dyDescent="0.2">
      <c r="B305" s="112">
        <v>100000</v>
      </c>
      <c r="C305" s="92" t="s">
        <v>91</v>
      </c>
      <c r="F305" s="92" t="s">
        <v>966</v>
      </c>
    </row>
    <row r="306" spans="1:6" s="92" customFormat="1" ht="16" x14ac:dyDescent="0.2">
      <c r="B306" s="114">
        <f>PV(B303,B304,B305,B307,B308)</f>
        <v>-671008.13989414473</v>
      </c>
      <c r="C306" s="92" t="s">
        <v>281</v>
      </c>
      <c r="F306" s="92" t="s">
        <v>967</v>
      </c>
    </row>
    <row r="307" spans="1:6" s="92" customFormat="1" ht="16" x14ac:dyDescent="0.2">
      <c r="B307" s="105">
        <v>0</v>
      </c>
      <c r="C307" s="92" t="s">
        <v>105</v>
      </c>
      <c r="F307" s="92" t="s">
        <v>968</v>
      </c>
    </row>
    <row r="308" spans="1:6" s="92" customFormat="1" ht="16" x14ac:dyDescent="0.2">
      <c r="B308" s="105">
        <v>0</v>
      </c>
      <c r="C308" s="92" t="s">
        <v>328</v>
      </c>
    </row>
    <row r="309" spans="1:6" s="92" customFormat="1" ht="16" x14ac:dyDescent="0.2"/>
    <row r="310" spans="1:6" s="92" customFormat="1" ht="16" x14ac:dyDescent="0.2">
      <c r="A310" s="93" t="s">
        <v>969</v>
      </c>
    </row>
    <row r="311" spans="1:6" s="92" customFormat="1" ht="16" x14ac:dyDescent="0.2">
      <c r="A311" s="93"/>
      <c r="B311" s="111" t="s">
        <v>970</v>
      </c>
      <c r="C311" s="111"/>
    </row>
    <row r="312" spans="1:6" s="92" customFormat="1" ht="16" x14ac:dyDescent="0.2">
      <c r="A312" s="93"/>
      <c r="B312" s="108">
        <v>0.08</v>
      </c>
      <c r="C312" s="92" t="s">
        <v>87</v>
      </c>
    </row>
    <row r="313" spans="1:6" s="92" customFormat="1" ht="16" x14ac:dyDescent="0.2">
      <c r="A313" s="93"/>
      <c r="B313" s="105">
        <v>10</v>
      </c>
      <c r="C313" s="92" t="s">
        <v>89</v>
      </c>
    </row>
    <row r="314" spans="1:6" s="92" customFormat="1" ht="16" x14ac:dyDescent="0.2">
      <c r="B314" s="118">
        <f>PMT(B312,B313,B315,B316,B317)</f>
        <v>-104320.6420879528</v>
      </c>
      <c r="C314" s="92" t="s">
        <v>91</v>
      </c>
      <c r="D314" s="92" t="s">
        <v>971</v>
      </c>
    </row>
    <row r="315" spans="1:6" s="92" customFormat="1" ht="16" x14ac:dyDescent="0.2">
      <c r="A315" s="93"/>
      <c r="B315" s="112">
        <f>F303</f>
        <v>700000</v>
      </c>
      <c r="C315" s="92" t="s">
        <v>281</v>
      </c>
    </row>
    <row r="316" spans="1:6" s="92" customFormat="1" ht="16" x14ac:dyDescent="0.2">
      <c r="B316" s="105">
        <v>0</v>
      </c>
      <c r="C316" s="92" t="s">
        <v>105</v>
      </c>
    </row>
    <row r="317" spans="1:6" s="92" customFormat="1" ht="16" x14ac:dyDescent="0.2">
      <c r="B317" s="105">
        <v>0</v>
      </c>
      <c r="C317" s="92" t="s">
        <v>328</v>
      </c>
    </row>
    <row r="318" spans="1:6" s="92" customFormat="1" ht="16" x14ac:dyDescent="0.2"/>
    <row r="319" spans="1:6" s="92" customFormat="1" ht="16" x14ac:dyDescent="0.2">
      <c r="A319" s="93" t="s">
        <v>972</v>
      </c>
    </row>
    <row r="320" spans="1:6" s="92" customFormat="1" ht="16" x14ac:dyDescent="0.2">
      <c r="C320" s="110" t="s">
        <v>153</v>
      </c>
      <c r="D320" s="110" t="s">
        <v>973</v>
      </c>
      <c r="E320" s="110" t="s">
        <v>974</v>
      </c>
    </row>
    <row r="321" spans="1:8" s="92" customFormat="1" ht="16" x14ac:dyDescent="0.2">
      <c r="B321" s="92">
        <v>0</v>
      </c>
      <c r="C321" s="112">
        <v>700000</v>
      </c>
      <c r="D321" s="105"/>
      <c r="E321" s="105"/>
    </row>
    <row r="322" spans="1:8" s="92" customFormat="1" ht="16" x14ac:dyDescent="0.2">
      <c r="B322" s="92">
        <v>1</v>
      </c>
      <c r="C322" s="112">
        <f>C321*(1+8%)</f>
        <v>756000</v>
      </c>
      <c r="D322" s="112">
        <f>B314</f>
        <v>-104320.6420879528</v>
      </c>
      <c r="E322" s="112">
        <f t="shared" ref="E322:E331" si="0">C322+D322</f>
        <v>651679.35791204718</v>
      </c>
    </row>
    <row r="323" spans="1:8" s="92" customFormat="1" ht="16" x14ac:dyDescent="0.2">
      <c r="B323" s="92">
        <f t="shared" ref="B323:B331" si="1">B322+1</f>
        <v>2</v>
      </c>
      <c r="C323" s="112">
        <f t="shared" ref="C323:C331" si="2">E322*1.08</f>
        <v>703813.70654501102</v>
      </c>
      <c r="D323" s="112">
        <f t="shared" ref="D323:D331" si="3">D322</f>
        <v>-104320.6420879528</v>
      </c>
      <c r="E323" s="112">
        <f t="shared" si="0"/>
        <v>599493.06445705821</v>
      </c>
    </row>
    <row r="324" spans="1:8" s="92" customFormat="1" ht="16" x14ac:dyDescent="0.2">
      <c r="B324" s="92">
        <f t="shared" si="1"/>
        <v>3</v>
      </c>
      <c r="C324" s="112">
        <f t="shared" si="2"/>
        <v>647452.50961362291</v>
      </c>
      <c r="D324" s="112">
        <f t="shared" si="3"/>
        <v>-104320.6420879528</v>
      </c>
      <c r="E324" s="112">
        <f t="shared" si="0"/>
        <v>543131.8675256701</v>
      </c>
    </row>
    <row r="325" spans="1:8" s="92" customFormat="1" ht="16" x14ac:dyDescent="0.2">
      <c r="B325" s="92">
        <f t="shared" si="1"/>
        <v>4</v>
      </c>
      <c r="C325" s="112">
        <f t="shared" si="2"/>
        <v>586582.4169277238</v>
      </c>
      <c r="D325" s="112">
        <f t="shared" si="3"/>
        <v>-104320.6420879528</v>
      </c>
      <c r="E325" s="112">
        <f t="shared" si="0"/>
        <v>482261.77483977098</v>
      </c>
    </row>
    <row r="326" spans="1:8" s="92" customFormat="1" ht="16" x14ac:dyDescent="0.2">
      <c r="B326" s="92">
        <f t="shared" si="1"/>
        <v>5</v>
      </c>
      <c r="C326" s="112">
        <f t="shared" si="2"/>
        <v>520842.7168269527</v>
      </c>
      <c r="D326" s="112">
        <f t="shared" si="3"/>
        <v>-104320.6420879528</v>
      </c>
      <c r="E326" s="112">
        <f t="shared" si="0"/>
        <v>416522.07473899989</v>
      </c>
    </row>
    <row r="327" spans="1:8" s="92" customFormat="1" ht="16" x14ac:dyDescent="0.2">
      <c r="B327" s="92">
        <f t="shared" si="1"/>
        <v>6</v>
      </c>
      <c r="C327" s="112">
        <f t="shared" si="2"/>
        <v>449843.84071811993</v>
      </c>
      <c r="D327" s="112">
        <f t="shared" si="3"/>
        <v>-104320.6420879528</v>
      </c>
      <c r="E327" s="112">
        <f t="shared" si="0"/>
        <v>345523.19863016711</v>
      </c>
    </row>
    <row r="328" spans="1:8" s="92" customFormat="1" ht="16" x14ac:dyDescent="0.2">
      <c r="B328" s="92">
        <f t="shared" si="1"/>
        <v>7</v>
      </c>
      <c r="C328" s="112">
        <f t="shared" si="2"/>
        <v>373165.05452058051</v>
      </c>
      <c r="D328" s="112">
        <f t="shared" si="3"/>
        <v>-104320.6420879528</v>
      </c>
      <c r="E328" s="112">
        <f t="shared" si="0"/>
        <v>268844.41243262769</v>
      </c>
    </row>
    <row r="329" spans="1:8" s="92" customFormat="1" ht="16" x14ac:dyDescent="0.2">
      <c r="B329" s="92">
        <f t="shared" si="1"/>
        <v>8</v>
      </c>
      <c r="C329" s="112">
        <f t="shared" si="2"/>
        <v>290351.96542723791</v>
      </c>
      <c r="D329" s="112">
        <f t="shared" si="3"/>
        <v>-104320.6420879528</v>
      </c>
      <c r="E329" s="112">
        <f t="shared" si="0"/>
        <v>186031.3233392851</v>
      </c>
    </row>
    <row r="330" spans="1:8" s="92" customFormat="1" ht="16" x14ac:dyDescent="0.2">
      <c r="B330" s="92">
        <f t="shared" si="1"/>
        <v>9</v>
      </c>
      <c r="C330" s="112">
        <f t="shared" si="2"/>
        <v>200913.82920642791</v>
      </c>
      <c r="D330" s="112">
        <f t="shared" si="3"/>
        <v>-104320.6420879528</v>
      </c>
      <c r="E330" s="112">
        <f t="shared" si="0"/>
        <v>96593.187118475107</v>
      </c>
    </row>
    <row r="331" spans="1:8" s="92" customFormat="1" ht="16" x14ac:dyDescent="0.2">
      <c r="B331" s="92">
        <f t="shared" si="1"/>
        <v>10</v>
      </c>
      <c r="C331" s="112">
        <f t="shared" si="2"/>
        <v>104320.64208795312</v>
      </c>
      <c r="D331" s="112">
        <f t="shared" si="3"/>
        <v>-104320.6420879528</v>
      </c>
      <c r="E331" s="112">
        <f t="shared" si="0"/>
        <v>3.2014213502407074E-10</v>
      </c>
    </row>
    <row r="332" spans="1:8" s="92" customFormat="1" ht="16" x14ac:dyDescent="0.2"/>
    <row r="333" spans="1:8" s="92" customFormat="1" ht="16" x14ac:dyDescent="0.2"/>
    <row r="334" spans="1:8" s="92" customFormat="1" ht="16" x14ac:dyDescent="0.2">
      <c r="A334" s="94" t="s">
        <v>383</v>
      </c>
      <c r="B334" s="94" t="s">
        <v>975</v>
      </c>
      <c r="C334" s="94"/>
      <c r="D334" s="94"/>
      <c r="E334" s="94"/>
      <c r="F334" s="94"/>
      <c r="G334" s="94"/>
      <c r="H334" s="94"/>
    </row>
    <row r="335" spans="1:8" s="92" customFormat="1" ht="16" x14ac:dyDescent="0.2">
      <c r="A335" s="92" t="s">
        <v>976</v>
      </c>
    </row>
    <row r="336" spans="1:8" s="92" customFormat="1" ht="16" x14ac:dyDescent="0.2">
      <c r="A336" s="92" t="s">
        <v>977</v>
      </c>
    </row>
    <row r="337" spans="1:8" s="92" customFormat="1" ht="16" x14ac:dyDescent="0.2">
      <c r="A337" s="92" t="s">
        <v>978</v>
      </c>
    </row>
    <row r="338" spans="1:8" s="92" customFormat="1" ht="16" x14ac:dyDescent="0.2"/>
    <row r="339" spans="1:8" s="92" customFormat="1" ht="16" x14ac:dyDescent="0.2">
      <c r="A339" s="93" t="s">
        <v>811</v>
      </c>
    </row>
    <row r="340" spans="1:8" s="92" customFormat="1" ht="16" x14ac:dyDescent="0.2"/>
    <row r="341" spans="1:8" s="92" customFormat="1" ht="16" x14ac:dyDescent="0.2">
      <c r="B341" s="111" t="s">
        <v>979</v>
      </c>
      <c r="C341" s="111"/>
    </row>
    <row r="342" spans="1:8" s="92" customFormat="1" ht="16" x14ac:dyDescent="0.2">
      <c r="B342" s="108">
        <v>1.4999999999999999E-2</v>
      </c>
      <c r="C342" s="92" t="s">
        <v>87</v>
      </c>
    </row>
    <row r="343" spans="1:8" s="92" customFormat="1" ht="16" x14ac:dyDescent="0.2">
      <c r="B343" s="105">
        <f>20*12</f>
        <v>240</v>
      </c>
      <c r="C343" s="92" t="s">
        <v>89</v>
      </c>
    </row>
    <row r="344" spans="1:8" s="92" customFormat="1" ht="16" x14ac:dyDescent="0.2">
      <c r="B344" s="118">
        <f>PMT(B342,B343,B345,B346,B347)</f>
        <v>-3858.2788084079039</v>
      </c>
      <c r="C344" s="92" t="s">
        <v>91</v>
      </c>
      <c r="D344" s="92" t="s">
        <v>971</v>
      </c>
    </row>
    <row r="345" spans="1:8" s="92" customFormat="1" ht="16" x14ac:dyDescent="0.2">
      <c r="B345" s="112">
        <f>250000</f>
        <v>250000</v>
      </c>
      <c r="C345" s="92" t="s">
        <v>281</v>
      </c>
    </row>
    <row r="346" spans="1:8" s="92" customFormat="1" ht="16" x14ac:dyDescent="0.2">
      <c r="B346" s="105">
        <v>0</v>
      </c>
      <c r="C346" s="92" t="s">
        <v>105</v>
      </c>
    </row>
    <row r="347" spans="1:8" s="92" customFormat="1" ht="16" x14ac:dyDescent="0.2">
      <c r="B347" s="105">
        <v>0</v>
      </c>
      <c r="C347" s="92" t="s">
        <v>328</v>
      </c>
    </row>
    <row r="348" spans="1:8" s="92" customFormat="1" ht="16" x14ac:dyDescent="0.2"/>
    <row r="349" spans="1:8" s="92" customFormat="1" ht="16" x14ac:dyDescent="0.2"/>
    <row r="350" spans="1:8" s="92" customFormat="1" ht="16" x14ac:dyDescent="0.2"/>
    <row r="351" spans="1:8" s="92" customFormat="1" ht="16" x14ac:dyDescent="0.2">
      <c r="A351" s="94" t="s">
        <v>390</v>
      </c>
      <c r="B351" s="94" t="s">
        <v>925</v>
      </c>
      <c r="C351" s="94"/>
      <c r="D351" s="94"/>
      <c r="E351" s="94"/>
      <c r="F351" s="94"/>
      <c r="G351" s="94"/>
      <c r="H351" s="94"/>
    </row>
    <row r="352" spans="1:8" s="92" customFormat="1" ht="16" x14ac:dyDescent="0.2">
      <c r="A352" s="92" t="s">
        <v>980</v>
      </c>
    </row>
    <row r="353" spans="1:6" s="92" customFormat="1" ht="16" x14ac:dyDescent="0.2">
      <c r="A353" s="92" t="s">
        <v>981</v>
      </c>
    </row>
    <row r="354" spans="1:6" s="92" customFormat="1" ht="16" x14ac:dyDescent="0.2">
      <c r="A354" s="92" t="s">
        <v>982</v>
      </c>
    </row>
    <row r="355" spans="1:6" s="92" customFormat="1" ht="16" x14ac:dyDescent="0.2">
      <c r="A355" s="92" t="s">
        <v>983</v>
      </c>
    </row>
    <row r="356" spans="1:6" s="92" customFormat="1" ht="16" x14ac:dyDescent="0.2">
      <c r="A356" s="92" t="s">
        <v>984</v>
      </c>
    </row>
    <row r="357" spans="1:6" s="92" customFormat="1" ht="16" x14ac:dyDescent="0.2">
      <c r="A357" s="92" t="s">
        <v>985</v>
      </c>
    </row>
    <row r="358" spans="1:6" s="92" customFormat="1" ht="16" x14ac:dyDescent="0.2">
      <c r="A358" s="92" t="s">
        <v>986</v>
      </c>
    </row>
    <row r="359" spans="1:6" s="92" customFormat="1" ht="16" x14ac:dyDescent="0.2"/>
    <row r="360" spans="1:6" s="92" customFormat="1" ht="16" x14ac:dyDescent="0.2">
      <c r="A360" s="92" t="s">
        <v>987</v>
      </c>
    </row>
    <row r="361" spans="1:6" s="92" customFormat="1" ht="16" x14ac:dyDescent="0.2">
      <c r="A361" s="92" t="s">
        <v>988</v>
      </c>
    </row>
    <row r="362" spans="1:6" s="92" customFormat="1" ht="16" x14ac:dyDescent="0.2">
      <c r="A362" s="92" t="s">
        <v>989</v>
      </c>
    </row>
    <row r="363" spans="1:6" s="92" customFormat="1" ht="16" x14ac:dyDescent="0.2">
      <c r="A363" s="92" t="s">
        <v>990</v>
      </c>
    </row>
    <row r="364" spans="1:6" s="92" customFormat="1" ht="16" x14ac:dyDescent="0.2">
      <c r="C364" s="121" t="s">
        <v>991</v>
      </c>
      <c r="D364" s="120" t="s">
        <v>992</v>
      </c>
      <c r="E364" s="119" t="s">
        <v>993</v>
      </c>
    </row>
    <row r="365" spans="1:6" s="92" customFormat="1" ht="16" x14ac:dyDescent="0.2">
      <c r="C365" s="110" t="s">
        <v>994</v>
      </c>
      <c r="D365" s="110" t="s">
        <v>771</v>
      </c>
      <c r="E365" s="110" t="s">
        <v>772</v>
      </c>
    </row>
    <row r="366" spans="1:6" s="92" customFormat="1" ht="16" x14ac:dyDescent="0.2">
      <c r="C366" s="122">
        <v>1.4999999999999999E-2</v>
      </c>
      <c r="D366" s="122">
        <v>1.4999999999999999E-2</v>
      </c>
      <c r="E366" s="122">
        <v>2.1999999999999999E-2</v>
      </c>
      <c r="F366" s="92" t="s">
        <v>87</v>
      </c>
    </row>
    <row r="367" spans="1:6" s="92" customFormat="1" ht="16" x14ac:dyDescent="0.2">
      <c r="C367" s="105">
        <v>6</v>
      </c>
      <c r="D367" s="105">
        <v>6</v>
      </c>
      <c r="E367" s="105">
        <v>6</v>
      </c>
      <c r="F367" s="92" t="s">
        <v>89</v>
      </c>
    </row>
    <row r="368" spans="1:6" s="92" customFormat="1" ht="16" x14ac:dyDescent="0.2">
      <c r="C368" s="105">
        <v>10000</v>
      </c>
      <c r="D368" s="105">
        <v>0</v>
      </c>
      <c r="E368" s="105">
        <v>15000</v>
      </c>
      <c r="F368" s="92" t="s">
        <v>91</v>
      </c>
    </row>
    <row r="369" spans="1:8" s="92" customFormat="1" ht="18" x14ac:dyDescent="0.2">
      <c r="A369" s="92" t="s">
        <v>995</v>
      </c>
      <c r="C369" s="123">
        <f>PV(C366,C367,C368,C370,C371)</f>
        <v>-126774.49622626232</v>
      </c>
      <c r="D369" s="116">
        <f>PV(D366,D367,D368,D370,D371)</f>
        <v>-76325.209643234994</v>
      </c>
      <c r="E369" s="114">
        <f>PV(E366,E367,E368,E370,E371)</f>
        <v>-83457.286353405114</v>
      </c>
      <c r="F369" s="92" t="s">
        <v>281</v>
      </c>
    </row>
    <row r="370" spans="1:8" s="92" customFormat="1" ht="16" x14ac:dyDescent="0.2">
      <c r="C370" s="116">
        <f>-D369</f>
        <v>76325.209643234994</v>
      </c>
      <c r="D370" s="114">
        <f>-E369</f>
        <v>83457.286353405114</v>
      </c>
      <c r="E370" s="105">
        <v>0</v>
      </c>
      <c r="F370" s="92" t="s">
        <v>105</v>
      </c>
    </row>
    <row r="371" spans="1:8" s="92" customFormat="1" ht="16" x14ac:dyDescent="0.2"/>
    <row r="372" spans="1:8" s="92" customFormat="1" ht="16" x14ac:dyDescent="0.2"/>
    <row r="373" spans="1:8" s="92" customFormat="1" ht="16" x14ac:dyDescent="0.2"/>
    <row r="374" spans="1:8" s="92" customFormat="1" ht="16" x14ac:dyDescent="0.2">
      <c r="A374" s="94" t="s">
        <v>395</v>
      </c>
      <c r="B374" s="94" t="s">
        <v>996</v>
      </c>
      <c r="C374" s="94"/>
      <c r="D374" s="94"/>
      <c r="E374" s="94"/>
      <c r="F374" s="94"/>
      <c r="G374" s="94"/>
      <c r="H374" s="94"/>
    </row>
    <row r="375" spans="1:8" s="92" customFormat="1" ht="16" x14ac:dyDescent="0.2">
      <c r="A375" s="92" t="s">
        <v>997</v>
      </c>
    </row>
    <row r="376" spans="1:8" s="92" customFormat="1" ht="16" x14ac:dyDescent="0.2">
      <c r="A376" s="92" t="s">
        <v>998</v>
      </c>
    </row>
    <row r="377" spans="1:8" s="92" customFormat="1" ht="16" x14ac:dyDescent="0.2">
      <c r="A377" s="92" t="s">
        <v>999</v>
      </c>
    </row>
    <row r="378" spans="1:8" s="92" customFormat="1" ht="17" thickBot="1" x14ac:dyDescent="0.25"/>
    <row r="379" spans="1:8" s="92" customFormat="1" ht="17" thickBot="1" x14ac:dyDescent="0.25">
      <c r="A379" s="124" t="s">
        <v>1000</v>
      </c>
      <c r="B379" s="125"/>
      <c r="C379" s="125"/>
      <c r="D379" s="125"/>
      <c r="E379" s="125"/>
      <c r="F379" s="125"/>
      <c r="G379" s="125"/>
      <c r="H379" s="126"/>
    </row>
    <row r="380" spans="1:8" s="92" customFormat="1" ht="16" x14ac:dyDescent="0.2">
      <c r="A380" s="92" t="s">
        <v>1001</v>
      </c>
    </row>
    <row r="381" spans="1:8" s="92" customFormat="1" ht="16" x14ac:dyDescent="0.2">
      <c r="A381" s="92" t="s">
        <v>1002</v>
      </c>
    </row>
    <row r="382" spans="1:8" s="92" customFormat="1" ht="16" x14ac:dyDescent="0.2"/>
    <row r="383" spans="1:8" s="92" customFormat="1" ht="16" x14ac:dyDescent="0.2">
      <c r="A383" s="92" t="s">
        <v>1003</v>
      </c>
    </row>
    <row r="384" spans="1:8" s="92" customFormat="1" ht="16" x14ac:dyDescent="0.2">
      <c r="A384" s="92" t="s">
        <v>1004</v>
      </c>
    </row>
    <row r="385" spans="1:5" s="92" customFormat="1" ht="16" x14ac:dyDescent="0.2"/>
    <row r="386" spans="1:5" s="92" customFormat="1" ht="16" x14ac:dyDescent="0.2">
      <c r="A386" s="92" t="s">
        <v>1005</v>
      </c>
    </row>
    <row r="387" spans="1:5" s="92" customFormat="1" ht="16" x14ac:dyDescent="0.2">
      <c r="A387" s="92" t="s">
        <v>1006</v>
      </c>
    </row>
    <row r="388" spans="1:5" s="92" customFormat="1" ht="16" x14ac:dyDescent="0.2">
      <c r="A388" s="92" t="s">
        <v>1007</v>
      </c>
    </row>
    <row r="389" spans="1:5" s="92" customFormat="1" ht="16" x14ac:dyDescent="0.2">
      <c r="A389" s="92" t="s">
        <v>1008</v>
      </c>
    </row>
    <row r="390" spans="1:5" s="92" customFormat="1" ht="16" x14ac:dyDescent="0.2"/>
    <row r="391" spans="1:5" s="92" customFormat="1" ht="16" x14ac:dyDescent="0.2">
      <c r="A391" s="92" t="s">
        <v>1009</v>
      </c>
    </row>
    <row r="392" spans="1:5" s="92" customFormat="1" ht="16" x14ac:dyDescent="0.2">
      <c r="A392" s="92" t="s">
        <v>1010</v>
      </c>
    </row>
    <row r="393" spans="1:5" s="92" customFormat="1" ht="16" x14ac:dyDescent="0.2">
      <c r="A393" s="92" t="s">
        <v>1011</v>
      </c>
    </row>
    <row r="394" spans="1:5" s="92" customFormat="1" ht="16" x14ac:dyDescent="0.2"/>
    <row r="395" spans="1:5" s="92" customFormat="1" ht="16" x14ac:dyDescent="0.2">
      <c r="A395" s="92" t="s">
        <v>1012</v>
      </c>
    </row>
    <row r="396" spans="1:5" s="92" customFormat="1" ht="16" x14ac:dyDescent="0.2">
      <c r="A396" s="92" t="s">
        <v>1013</v>
      </c>
    </row>
    <row r="397" spans="1:5" s="92" customFormat="1" ht="16" x14ac:dyDescent="0.2"/>
    <row r="398" spans="1:5" s="92" customFormat="1" ht="16" x14ac:dyDescent="0.2"/>
    <row r="399" spans="1:5" s="92" customFormat="1" ht="16" x14ac:dyDescent="0.2">
      <c r="D399" s="110" t="s">
        <v>1014</v>
      </c>
    </row>
    <row r="400" spans="1:5" s="92" customFormat="1" ht="16" x14ac:dyDescent="0.2">
      <c r="D400" s="122">
        <v>2.01E-2</v>
      </c>
      <c r="E400" s="92" t="s">
        <v>87</v>
      </c>
    </row>
    <row r="401" spans="1:5" s="92" customFormat="1" ht="16" x14ac:dyDescent="0.2">
      <c r="D401" s="105">
        <v>6</v>
      </c>
      <c r="E401" s="92" t="s">
        <v>89</v>
      </c>
    </row>
    <row r="402" spans="1:5" s="92" customFormat="1" ht="16" x14ac:dyDescent="0.2">
      <c r="A402" s="92" t="s">
        <v>1015</v>
      </c>
      <c r="D402" s="114">
        <f>PV(D400,D401,D403,D404,C405)</f>
        <v>-2799.7705157921973</v>
      </c>
      <c r="E402" s="92" t="s">
        <v>281</v>
      </c>
    </row>
    <row r="403" spans="1:5" s="92" customFormat="1" ht="16" x14ac:dyDescent="0.2">
      <c r="D403" s="105">
        <v>500</v>
      </c>
      <c r="E403" s="92" t="s">
        <v>91</v>
      </c>
    </row>
    <row r="404" spans="1:5" s="92" customFormat="1" ht="16" x14ac:dyDescent="0.2">
      <c r="D404" s="105">
        <v>0</v>
      </c>
      <c r="E404" s="92" t="s">
        <v>105</v>
      </c>
    </row>
    <row r="405" spans="1:5" s="92" customFormat="1" ht="16" x14ac:dyDescent="0.2"/>
    <row r="406" spans="1:5" s="92" customFormat="1" ht="16" x14ac:dyDescent="0.2">
      <c r="A406" s="92" t="s">
        <v>1016</v>
      </c>
      <c r="D406" s="127">
        <f>-D402*1.01</f>
        <v>2827.7682209501195</v>
      </c>
    </row>
    <row r="407" spans="1:5" s="92" customFormat="1" ht="16" x14ac:dyDescent="0.2"/>
    <row r="408" spans="1:5" s="92" customFormat="1" ht="16" x14ac:dyDescent="0.2">
      <c r="A408" s="92" t="s">
        <v>1017</v>
      </c>
    </row>
    <row r="409" spans="1:5" s="92" customFormat="1" ht="16" x14ac:dyDescent="0.2">
      <c r="E409" s="92" t="s">
        <v>1018</v>
      </c>
    </row>
    <row r="410" spans="1:5" s="92" customFormat="1" ht="16" x14ac:dyDescent="0.2"/>
    <row r="411" spans="1:5" s="92" customFormat="1" ht="16" x14ac:dyDescent="0.2">
      <c r="D411" s="110" t="s">
        <v>868</v>
      </c>
    </row>
    <row r="412" spans="1:5" s="92" customFormat="1" ht="16" x14ac:dyDescent="0.2">
      <c r="D412" s="122">
        <v>2.01E-2</v>
      </c>
      <c r="E412" s="92" t="s">
        <v>87</v>
      </c>
    </row>
    <row r="413" spans="1:5" s="92" customFormat="1" ht="16" x14ac:dyDescent="0.2">
      <c r="D413" s="105">
        <v>6</v>
      </c>
      <c r="E413" s="92" t="s">
        <v>89</v>
      </c>
    </row>
    <row r="414" spans="1:5" s="92" customFormat="1" ht="16" x14ac:dyDescent="0.2">
      <c r="A414" s="92" t="s">
        <v>1019</v>
      </c>
      <c r="D414" s="114">
        <f>PV(D412,D413,D415,D416,C417)</f>
        <v>-2827.7682209501195</v>
      </c>
      <c r="E414" s="92" t="s">
        <v>281</v>
      </c>
    </row>
    <row r="415" spans="1:5" s="92" customFormat="1" ht="16" x14ac:dyDescent="0.2">
      <c r="D415" s="105">
        <v>505</v>
      </c>
      <c r="E415" s="92" t="s">
        <v>91</v>
      </c>
    </row>
    <row r="416" spans="1:5" s="92" customFormat="1" ht="16" x14ac:dyDescent="0.2">
      <c r="D416" s="105">
        <v>0</v>
      </c>
      <c r="E416" s="92" t="s">
        <v>105</v>
      </c>
    </row>
    <row r="417" spans="1:8" s="92" customFormat="1" ht="16" x14ac:dyDescent="0.2"/>
    <row r="418" spans="1:8" s="92" customFormat="1" ht="16" x14ac:dyDescent="0.2">
      <c r="A418" s="92" t="s">
        <v>1020</v>
      </c>
    </row>
    <row r="419" spans="1:8" s="92" customFormat="1" ht="16" x14ac:dyDescent="0.2">
      <c r="A419" s="92" t="s">
        <v>1021</v>
      </c>
    </row>
    <row r="420" spans="1:8" s="92" customFormat="1" ht="16" x14ac:dyDescent="0.2"/>
    <row r="421" spans="1:8" s="92" customFormat="1" ht="16" x14ac:dyDescent="0.2">
      <c r="A421" s="92" t="s">
        <v>1022</v>
      </c>
    </row>
    <row r="422" spans="1:8" s="92" customFormat="1" ht="16" x14ac:dyDescent="0.2">
      <c r="A422" s="92" t="s">
        <v>1023</v>
      </c>
    </row>
    <row r="423" spans="1:8" s="92" customFormat="1" ht="16" x14ac:dyDescent="0.2"/>
    <row r="424" spans="1:8" s="92" customFormat="1" ht="16" x14ac:dyDescent="0.2">
      <c r="A424" s="94" t="s">
        <v>408</v>
      </c>
      <c r="B424" s="94"/>
      <c r="C424" s="94"/>
      <c r="D424" s="94"/>
      <c r="E424" s="94"/>
      <c r="F424" s="94"/>
      <c r="G424" s="94"/>
      <c r="H424" s="94"/>
    </row>
    <row r="425" spans="1:8" s="92" customFormat="1" ht="16" x14ac:dyDescent="0.2"/>
    <row r="426" spans="1:8" s="92" customFormat="1" ht="16" x14ac:dyDescent="0.2">
      <c r="A426" s="92" t="s">
        <v>1024</v>
      </c>
    </row>
    <row r="427" spans="1:8" s="92" customFormat="1" ht="16" x14ac:dyDescent="0.2">
      <c r="A427" s="92" t="s">
        <v>1025</v>
      </c>
    </row>
    <row r="428" spans="1:8" s="92" customFormat="1" ht="16" x14ac:dyDescent="0.2"/>
    <row r="429" spans="1:8" s="92" customFormat="1" ht="16" x14ac:dyDescent="0.2">
      <c r="A429" s="92" t="s">
        <v>1026</v>
      </c>
    </row>
    <row r="430" spans="1:8" s="92" customFormat="1" ht="16" x14ac:dyDescent="0.2"/>
    <row r="431" spans="1:8" s="92" customFormat="1" ht="16" x14ac:dyDescent="0.2">
      <c r="A431" s="110" t="s">
        <v>886</v>
      </c>
      <c r="B431" s="110" t="s">
        <v>887</v>
      </c>
      <c r="C431" s="111" t="s">
        <v>888</v>
      </c>
      <c r="F431" s="105" t="s">
        <v>889</v>
      </c>
      <c r="G431" s="105" t="s">
        <v>890</v>
      </c>
      <c r="H431" s="105" t="s">
        <v>891</v>
      </c>
    </row>
    <row r="432" spans="1:8" s="92" customFormat="1" ht="16" x14ac:dyDescent="0.2">
      <c r="A432" s="105">
        <v>0</v>
      </c>
      <c r="B432" s="105"/>
      <c r="C432" s="469"/>
      <c r="F432" s="105" t="s">
        <v>892</v>
      </c>
      <c r="G432" s="105" t="s">
        <v>893</v>
      </c>
      <c r="H432" s="105" t="s">
        <v>894</v>
      </c>
    </row>
    <row r="433" spans="1:9" s="92" customFormat="1" ht="16" x14ac:dyDescent="0.2">
      <c r="A433" s="105">
        <v>1</v>
      </c>
      <c r="B433" s="105"/>
      <c r="C433" s="469"/>
      <c r="F433" s="105" t="s">
        <v>895</v>
      </c>
      <c r="G433" s="105" t="s">
        <v>896</v>
      </c>
      <c r="H433" s="105" t="s">
        <v>897</v>
      </c>
    </row>
    <row r="434" spans="1:9" s="92" customFormat="1" ht="16" x14ac:dyDescent="0.2">
      <c r="A434" s="105">
        <v>2</v>
      </c>
      <c r="B434" s="105"/>
      <c r="C434" s="469"/>
      <c r="F434" s="110" t="s">
        <v>899</v>
      </c>
      <c r="G434" s="110" t="s">
        <v>1027</v>
      </c>
      <c r="H434" s="110" t="s">
        <v>901</v>
      </c>
    </row>
    <row r="435" spans="1:9" s="92" customFormat="1" ht="16" x14ac:dyDescent="0.2">
      <c r="A435" s="105" t="s">
        <v>566</v>
      </c>
      <c r="B435" s="105"/>
      <c r="C435" s="469"/>
      <c r="F435" s="108">
        <v>5.0000000000000001E-3</v>
      </c>
      <c r="G435" s="105"/>
      <c r="H435" s="108">
        <v>5.0000000000000001E-3</v>
      </c>
      <c r="I435" s="92" t="s">
        <v>87</v>
      </c>
    </row>
    <row r="436" spans="1:9" s="92" customFormat="1" ht="16" x14ac:dyDescent="0.2">
      <c r="A436" s="105" t="s">
        <v>566</v>
      </c>
      <c r="B436" s="105"/>
      <c r="C436" s="469"/>
      <c r="F436" s="105">
        <v>24</v>
      </c>
      <c r="G436" s="105"/>
      <c r="H436" s="105">
        <v>36</v>
      </c>
      <c r="I436" s="92" t="s">
        <v>89</v>
      </c>
    </row>
    <row r="437" spans="1:9" s="92" customFormat="1" ht="16" x14ac:dyDescent="0.2">
      <c r="A437" s="110">
        <v>24</v>
      </c>
      <c r="B437" s="472">
        <v>25000</v>
      </c>
      <c r="C437" s="471">
        <v>0</v>
      </c>
      <c r="F437" s="105">
        <v>0</v>
      </c>
      <c r="G437" s="105"/>
      <c r="H437" s="458">
        <f>PV(H435,H436,H438,H439,H440)</f>
        <v>-65742.03247852996</v>
      </c>
      <c r="I437" s="92" t="s">
        <v>281</v>
      </c>
    </row>
    <row r="438" spans="1:9" s="92" customFormat="1" ht="16" x14ac:dyDescent="0.2">
      <c r="A438" s="105">
        <v>15</v>
      </c>
      <c r="B438" s="142"/>
      <c r="C438" s="142">
        <v>2000</v>
      </c>
      <c r="F438" s="470">
        <f>PMT(F435,F436,F437,F439,F440)</f>
        <v>-3568.0320926312843</v>
      </c>
      <c r="G438" s="105"/>
      <c r="H438" s="105">
        <v>2000</v>
      </c>
      <c r="I438" s="92" t="s">
        <v>91</v>
      </c>
    </row>
    <row r="439" spans="1:9" s="92" customFormat="1" ht="16" x14ac:dyDescent="0.2">
      <c r="A439" s="105" t="s">
        <v>566</v>
      </c>
      <c r="B439" s="142"/>
      <c r="C439" s="142">
        <f>C438</f>
        <v>2000</v>
      </c>
      <c r="F439" s="112">
        <f>-H437+B437+C437</f>
        <v>90742.03247852996</v>
      </c>
      <c r="G439" s="468">
        <v>25000</v>
      </c>
      <c r="H439" s="105">
        <v>0</v>
      </c>
      <c r="I439" s="92" t="s">
        <v>105</v>
      </c>
    </row>
    <row r="440" spans="1:9" s="92" customFormat="1" ht="16" x14ac:dyDescent="0.2">
      <c r="A440" s="105" t="s">
        <v>566</v>
      </c>
      <c r="B440" s="142"/>
      <c r="C440" s="142">
        <f>C439</f>
        <v>2000</v>
      </c>
      <c r="F440" s="105">
        <v>0</v>
      </c>
      <c r="G440" s="105"/>
      <c r="H440" s="105">
        <v>0</v>
      </c>
      <c r="I440" s="92" t="s">
        <v>328</v>
      </c>
    </row>
    <row r="441" spans="1:9" s="92" customFormat="1" ht="16" x14ac:dyDescent="0.2">
      <c r="A441" s="105">
        <v>59</v>
      </c>
      <c r="B441" s="142"/>
      <c r="C441" s="142">
        <f>C440</f>
        <v>2000</v>
      </c>
    </row>
    <row r="442" spans="1:9" s="92" customFormat="1" ht="16" x14ac:dyDescent="0.2">
      <c r="G442" s="105"/>
      <c r="H442" s="105"/>
    </row>
    <row r="443" spans="1:9" s="92" customFormat="1" ht="16" x14ac:dyDescent="0.2">
      <c r="A443" s="473" t="s">
        <v>1028</v>
      </c>
      <c r="F443" s="105"/>
      <c r="G443" s="105"/>
      <c r="H443" s="105"/>
    </row>
  </sheetData>
  <mergeCells count="6">
    <mergeCell ref="C71:C74"/>
    <mergeCell ref="C75:C79"/>
    <mergeCell ref="C229:C232"/>
    <mergeCell ref="A1:H1"/>
    <mergeCell ref="E149:F149"/>
    <mergeCell ref="E128:F128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A41232-39D0-5141-9A76-979C8D4A5E33}">
  <dimension ref="A1:H273"/>
  <sheetViews>
    <sheetView rightToLeft="1" topLeftCell="A116" zoomScale="234" zoomScaleNormal="170" workbookViewId="0">
      <selection activeCell="D124" sqref="D124"/>
    </sheetView>
  </sheetViews>
  <sheetFormatPr baseColWidth="10" defaultColWidth="10.83203125" defaultRowHeight="16" x14ac:dyDescent="0.2"/>
  <cols>
    <col min="1" max="16384" width="10.83203125" style="92"/>
  </cols>
  <sheetData>
    <row r="1" spans="1:8" x14ac:dyDescent="0.2">
      <c r="A1" s="740" t="s">
        <v>3122</v>
      </c>
      <c r="B1" s="740"/>
      <c r="C1" s="740"/>
      <c r="D1" s="740"/>
      <c r="E1" s="740"/>
      <c r="F1" s="740"/>
      <c r="G1" s="740"/>
      <c r="H1" s="740"/>
    </row>
    <row r="3" spans="1:8" x14ac:dyDescent="0.2">
      <c r="A3" s="92" t="s">
        <v>2562</v>
      </c>
    </row>
    <row r="4" spans="1:8" x14ac:dyDescent="0.2">
      <c r="A4" s="92" t="s">
        <v>2563</v>
      </c>
    </row>
    <row r="5" spans="1:8" ht="17" thickBot="1" x14ac:dyDescent="0.25"/>
    <row r="6" spans="1:8" x14ac:dyDescent="0.2">
      <c r="A6" s="95" t="s">
        <v>2564</v>
      </c>
      <c r="B6" s="96"/>
      <c r="C6" s="96"/>
      <c r="D6" s="96"/>
      <c r="E6" s="96"/>
      <c r="F6" s="96"/>
      <c r="G6" s="96"/>
      <c r="H6" s="97"/>
    </row>
    <row r="7" spans="1:8" x14ac:dyDescent="0.2">
      <c r="A7" s="98" t="s">
        <v>2565</v>
      </c>
      <c r="H7" s="99"/>
    </row>
    <row r="8" spans="1:8" x14ac:dyDescent="0.2">
      <c r="A8" s="98" t="s">
        <v>2566</v>
      </c>
      <c r="H8" s="99"/>
    </row>
    <row r="9" spans="1:8" x14ac:dyDescent="0.2">
      <c r="A9" s="98" t="s">
        <v>2567</v>
      </c>
      <c r="H9" s="99"/>
    </row>
    <row r="10" spans="1:8" ht="17" thickBot="1" x14ac:dyDescent="0.25">
      <c r="A10" s="100" t="s">
        <v>2568</v>
      </c>
      <c r="B10" s="101"/>
      <c r="C10" s="101"/>
      <c r="D10" s="101"/>
      <c r="E10" s="101"/>
      <c r="F10" s="101"/>
      <c r="G10" s="101"/>
      <c r="H10" s="102"/>
    </row>
    <row r="12" spans="1:8" x14ac:dyDescent="0.2">
      <c r="B12" s="105">
        <v>36</v>
      </c>
      <c r="C12" s="105" t="s">
        <v>2571</v>
      </c>
      <c r="D12" s="105">
        <v>13</v>
      </c>
      <c r="E12" s="105" t="s">
        <v>2570</v>
      </c>
      <c r="F12" s="105">
        <v>1</v>
      </c>
      <c r="G12" s="105">
        <v>0</v>
      </c>
    </row>
    <row r="14" spans="1:8" x14ac:dyDescent="0.2">
      <c r="A14" s="92" t="s">
        <v>2569</v>
      </c>
      <c r="G14" s="593" t="s">
        <v>740</v>
      </c>
    </row>
    <row r="24" spans="1:8" x14ac:dyDescent="0.2">
      <c r="A24" s="92" t="s">
        <v>2574</v>
      </c>
      <c r="E24" s="592" t="s">
        <v>2573</v>
      </c>
      <c r="F24" s="591" t="s">
        <v>2572</v>
      </c>
    </row>
    <row r="25" spans="1:8" x14ac:dyDescent="0.2">
      <c r="A25" s="92" t="s">
        <v>2575</v>
      </c>
      <c r="E25" s="672">
        <v>3.0000000000000001E-3</v>
      </c>
      <c r="F25" s="464">
        <v>5.0000000000000001E-3</v>
      </c>
      <c r="G25" s="92" t="s">
        <v>87</v>
      </c>
    </row>
    <row r="26" spans="1:8" x14ac:dyDescent="0.2">
      <c r="E26" s="460">
        <v>12</v>
      </c>
      <c r="F26" s="460">
        <v>24</v>
      </c>
      <c r="G26" s="92" t="s">
        <v>89</v>
      </c>
    </row>
    <row r="27" spans="1:8" ht="17" thickBot="1" x14ac:dyDescent="0.25">
      <c r="E27" s="460">
        <f>F27</f>
        <v>1500</v>
      </c>
      <c r="F27" s="460">
        <v>1500</v>
      </c>
      <c r="G27" s="92" t="s">
        <v>91</v>
      </c>
    </row>
    <row r="28" spans="1:8" ht="17" thickBot="1" x14ac:dyDescent="0.25">
      <c r="E28" s="673">
        <f>PV(E25,E26,E27,E29)</f>
        <v>-50303.193583140579</v>
      </c>
      <c r="F28" s="671">
        <f>PV(F25,F26,F27,F29)</f>
        <v>-33844.299332648581</v>
      </c>
      <c r="G28" s="92" t="s">
        <v>281</v>
      </c>
    </row>
    <row r="29" spans="1:8" x14ac:dyDescent="0.2">
      <c r="E29" s="671">
        <f>-F28</f>
        <v>33844.299332648581</v>
      </c>
      <c r="F29" s="460">
        <v>0</v>
      </c>
      <c r="G29" s="92" t="s">
        <v>105</v>
      </c>
    </row>
    <row r="31" spans="1:8" x14ac:dyDescent="0.2">
      <c r="A31" s="130" t="s">
        <v>2576</v>
      </c>
      <c r="B31" s="128"/>
      <c r="C31" s="128"/>
      <c r="D31" s="128"/>
      <c r="E31" s="128"/>
      <c r="F31" s="128"/>
      <c r="G31" s="128"/>
      <c r="H31" s="128"/>
    </row>
    <row r="32" spans="1:8" x14ac:dyDescent="0.2">
      <c r="A32" s="92" t="s">
        <v>2577</v>
      </c>
    </row>
    <row r="33" spans="1:8" x14ac:dyDescent="0.2">
      <c r="A33" s="92" t="s">
        <v>2578</v>
      </c>
    </row>
    <row r="34" spans="1:8" x14ac:dyDescent="0.2">
      <c r="A34" s="92" t="s">
        <v>1030</v>
      </c>
    </row>
    <row r="35" spans="1:8" x14ac:dyDescent="0.2">
      <c r="A35" s="92" t="s">
        <v>1031</v>
      </c>
    </row>
    <row r="36" spans="1:8" x14ac:dyDescent="0.2">
      <c r="A36" s="92" t="s">
        <v>1032</v>
      </c>
    </row>
    <row r="37" spans="1:8" x14ac:dyDescent="0.2">
      <c r="A37" s="92" t="s">
        <v>1033</v>
      </c>
    </row>
    <row r="38" spans="1:8" x14ac:dyDescent="0.2">
      <c r="A38" s="92" t="s">
        <v>1034</v>
      </c>
    </row>
    <row r="39" spans="1:8" x14ac:dyDescent="0.2">
      <c r="A39" s="92" t="s">
        <v>1035</v>
      </c>
    </row>
    <row r="41" spans="1:8" x14ac:dyDescent="0.2">
      <c r="A41" s="92" t="s">
        <v>1036</v>
      </c>
    </row>
    <row r="42" spans="1:8" x14ac:dyDescent="0.2">
      <c r="A42" s="92" t="s">
        <v>1037</v>
      </c>
    </row>
    <row r="43" spans="1:8" x14ac:dyDescent="0.2">
      <c r="A43" s="92" t="s">
        <v>1038</v>
      </c>
    </row>
    <row r="44" spans="1:8" x14ac:dyDescent="0.2">
      <c r="A44" s="92" t="s">
        <v>1039</v>
      </c>
    </row>
    <row r="46" spans="1:8" x14ac:dyDescent="0.2">
      <c r="A46" s="130" t="s">
        <v>1040</v>
      </c>
      <c r="B46" s="128"/>
      <c r="C46" s="128"/>
      <c r="D46" s="128"/>
      <c r="E46" s="128"/>
      <c r="F46" s="128"/>
      <c r="G46" s="128"/>
      <c r="H46" s="128"/>
    </row>
    <row r="48" spans="1:8" x14ac:dyDescent="0.2">
      <c r="E48" s="92" t="s">
        <v>1041</v>
      </c>
    </row>
    <row r="50" spans="1:8" x14ac:dyDescent="0.2">
      <c r="A50" s="92" t="s">
        <v>65</v>
      </c>
    </row>
    <row r="51" spans="1:8" x14ac:dyDescent="0.2">
      <c r="A51" s="105" t="s">
        <v>1042</v>
      </c>
      <c r="B51" s="92" t="s">
        <v>1043</v>
      </c>
    </row>
    <row r="52" spans="1:8" x14ac:dyDescent="0.2">
      <c r="A52" s="105" t="s">
        <v>1044</v>
      </c>
      <c r="B52" s="92" t="s">
        <v>1045</v>
      </c>
    </row>
    <row r="53" spans="1:8" x14ac:dyDescent="0.2">
      <c r="A53" s="105" t="s">
        <v>69</v>
      </c>
      <c r="B53" s="92" t="s">
        <v>1046</v>
      </c>
    </row>
    <row r="55" spans="1:8" x14ac:dyDescent="0.2">
      <c r="A55" s="130" t="s">
        <v>1047</v>
      </c>
      <c r="B55" s="128"/>
      <c r="C55" s="128"/>
      <c r="D55" s="128"/>
      <c r="E55" s="128"/>
      <c r="F55" s="128"/>
      <c r="G55" s="128"/>
      <c r="H55" s="128"/>
    </row>
    <row r="57" spans="1:8" x14ac:dyDescent="0.2">
      <c r="E57" s="92" t="s">
        <v>1048</v>
      </c>
    </row>
    <row r="59" spans="1:8" x14ac:dyDescent="0.2">
      <c r="A59" s="92" t="s">
        <v>65</v>
      </c>
    </row>
    <row r="60" spans="1:8" x14ac:dyDescent="0.2">
      <c r="A60" s="105" t="s">
        <v>1049</v>
      </c>
      <c r="B60" s="92" t="s">
        <v>1050</v>
      </c>
    </row>
    <row r="61" spans="1:8" x14ac:dyDescent="0.2">
      <c r="A61" s="105" t="s">
        <v>1044</v>
      </c>
      <c r="B61" s="92" t="s">
        <v>1051</v>
      </c>
    </row>
    <row r="62" spans="1:8" x14ac:dyDescent="0.2">
      <c r="A62" s="105" t="s">
        <v>69</v>
      </c>
      <c r="B62" s="92" t="s">
        <v>1052</v>
      </c>
    </row>
    <row r="63" spans="1:8" x14ac:dyDescent="0.2">
      <c r="A63" s="105" t="s">
        <v>1053</v>
      </c>
      <c r="B63" s="92" t="s">
        <v>1054</v>
      </c>
    </row>
    <row r="65" spans="1:8" x14ac:dyDescent="0.2">
      <c r="A65" s="130" t="s">
        <v>1055</v>
      </c>
      <c r="B65" s="128"/>
      <c r="C65" s="128"/>
      <c r="D65" s="128"/>
      <c r="E65" s="128"/>
      <c r="F65" s="128"/>
      <c r="G65" s="128"/>
      <c r="H65" s="128"/>
    </row>
    <row r="67" spans="1:8" x14ac:dyDescent="0.2">
      <c r="E67" s="92" t="s">
        <v>1056</v>
      </c>
    </row>
    <row r="68" spans="1:8" x14ac:dyDescent="0.2">
      <c r="A68" s="92" t="s">
        <v>65</v>
      </c>
    </row>
    <row r="69" spans="1:8" x14ac:dyDescent="0.2">
      <c r="A69" s="105" t="s">
        <v>1049</v>
      </c>
      <c r="B69" s="92" t="s">
        <v>1057</v>
      </c>
    </row>
    <row r="70" spans="1:8" x14ac:dyDescent="0.2">
      <c r="A70" s="105" t="s">
        <v>67</v>
      </c>
      <c r="B70" s="92" t="s">
        <v>1058</v>
      </c>
    </row>
    <row r="71" spans="1:8" x14ac:dyDescent="0.2">
      <c r="A71" s="105" t="s">
        <v>1053</v>
      </c>
      <c r="B71" s="92" t="s">
        <v>1059</v>
      </c>
    </row>
    <row r="73" spans="1:8" x14ac:dyDescent="0.2">
      <c r="A73" s="130" t="s">
        <v>1060</v>
      </c>
      <c r="B73" s="128"/>
      <c r="C73" s="128"/>
      <c r="D73" s="128"/>
      <c r="E73" s="128"/>
      <c r="F73" s="128"/>
      <c r="G73" s="128"/>
      <c r="H73" s="128"/>
    </row>
    <row r="75" spans="1:8" x14ac:dyDescent="0.2">
      <c r="E75" s="92" t="s">
        <v>1061</v>
      </c>
    </row>
    <row r="76" spans="1:8" x14ac:dyDescent="0.2">
      <c r="A76" s="92" t="s">
        <v>65</v>
      </c>
    </row>
    <row r="77" spans="1:8" x14ac:dyDescent="0.2">
      <c r="A77" s="105" t="s">
        <v>1049</v>
      </c>
      <c r="B77" s="92" t="s">
        <v>1062</v>
      </c>
    </row>
    <row r="78" spans="1:8" x14ac:dyDescent="0.2">
      <c r="A78" s="105" t="s">
        <v>1063</v>
      </c>
      <c r="B78" s="92" t="s">
        <v>1064</v>
      </c>
    </row>
    <row r="79" spans="1:8" x14ac:dyDescent="0.2">
      <c r="A79" s="105" t="s">
        <v>1065</v>
      </c>
      <c r="B79" s="92" t="s">
        <v>1066</v>
      </c>
    </row>
    <row r="81" spans="1:8" x14ac:dyDescent="0.2">
      <c r="A81" s="129" t="s">
        <v>3123</v>
      </c>
      <c r="B81" s="674"/>
      <c r="C81" s="674"/>
      <c r="D81" s="674"/>
      <c r="E81" s="674"/>
      <c r="F81" s="674"/>
      <c r="G81" s="674"/>
      <c r="H81" s="674"/>
    </row>
    <row r="83" spans="1:8" x14ac:dyDescent="0.2">
      <c r="A83" s="92" t="s">
        <v>3124</v>
      </c>
    </row>
    <row r="84" spans="1:8" x14ac:dyDescent="0.2">
      <c r="A84" s="92" t="s">
        <v>3125</v>
      </c>
    </row>
    <row r="85" spans="1:8" x14ac:dyDescent="0.2">
      <c r="A85" s="92" t="s">
        <v>3126</v>
      </c>
    </row>
    <row r="86" spans="1:8" x14ac:dyDescent="0.2">
      <c r="A86" s="92" t="s">
        <v>3127</v>
      </c>
    </row>
    <row r="87" spans="1:8" x14ac:dyDescent="0.2">
      <c r="A87" s="92" t="s">
        <v>3128</v>
      </c>
    </row>
    <row r="89" spans="1:8" x14ac:dyDescent="0.2">
      <c r="A89" s="92" t="s">
        <v>111</v>
      </c>
    </row>
    <row r="91" spans="1:8" x14ac:dyDescent="0.2">
      <c r="A91" s="628" t="s">
        <v>3125</v>
      </c>
    </row>
    <row r="92" spans="1:8" x14ac:dyDescent="0.2">
      <c r="A92" s="92" t="s">
        <v>3129</v>
      </c>
    </row>
    <row r="93" spans="1:8" x14ac:dyDescent="0.2">
      <c r="A93" s="92" t="s">
        <v>3130</v>
      </c>
      <c r="H93" s="92" t="s">
        <v>3131</v>
      </c>
    </row>
    <row r="94" spans="1:8" x14ac:dyDescent="0.2">
      <c r="A94" s="92" t="s">
        <v>3132</v>
      </c>
      <c r="H94" s="92" t="s">
        <v>3133</v>
      </c>
    </row>
    <row r="95" spans="1:8" x14ac:dyDescent="0.2">
      <c r="A95" s="92" t="s">
        <v>3134</v>
      </c>
      <c r="H95" s="92" t="s">
        <v>3135</v>
      </c>
    </row>
    <row r="97" spans="1:8" x14ac:dyDescent="0.2">
      <c r="A97" s="92" t="s">
        <v>3136</v>
      </c>
      <c r="H97" s="92" t="s">
        <v>3137</v>
      </c>
    </row>
    <row r="99" spans="1:8" x14ac:dyDescent="0.2">
      <c r="A99" s="92" t="s">
        <v>3138</v>
      </c>
    </row>
    <row r="100" spans="1:8" x14ac:dyDescent="0.2">
      <c r="F100" s="742">
        <f>1.02^12-1</f>
        <v>0.26824179456254527</v>
      </c>
    </row>
    <row r="101" spans="1:8" x14ac:dyDescent="0.2">
      <c r="F101" s="742"/>
    </row>
    <row r="103" spans="1:8" x14ac:dyDescent="0.2">
      <c r="A103" s="92" t="s">
        <v>3139</v>
      </c>
    </row>
    <row r="105" spans="1:8" x14ac:dyDescent="0.2">
      <c r="B105" s="92" t="s">
        <v>65</v>
      </c>
    </row>
    <row r="106" spans="1:8" x14ac:dyDescent="0.2">
      <c r="B106" s="105" t="s">
        <v>1049</v>
      </c>
      <c r="C106" s="92" t="s">
        <v>3140</v>
      </c>
    </row>
    <row r="107" spans="1:8" x14ac:dyDescent="0.2">
      <c r="B107" s="105" t="s">
        <v>1044</v>
      </c>
      <c r="C107" s="92" t="s">
        <v>3141</v>
      </c>
    </row>
    <row r="108" spans="1:8" x14ac:dyDescent="0.2">
      <c r="B108" s="105" t="s">
        <v>69</v>
      </c>
      <c r="C108" s="92" t="s">
        <v>3142</v>
      </c>
    </row>
    <row r="109" spans="1:8" x14ac:dyDescent="0.2">
      <c r="B109" s="105" t="s">
        <v>1053</v>
      </c>
      <c r="C109" s="92" t="s">
        <v>3143</v>
      </c>
    </row>
    <row r="110" spans="1:8" x14ac:dyDescent="0.2">
      <c r="A110" s="92" t="s">
        <v>3146</v>
      </c>
      <c r="B110" s="676" t="s">
        <v>3144</v>
      </c>
    </row>
    <row r="111" spans="1:8" x14ac:dyDescent="0.2">
      <c r="B111" s="676" t="s">
        <v>3145</v>
      </c>
    </row>
    <row r="112" spans="1:8" x14ac:dyDescent="0.2">
      <c r="B112" s="676"/>
    </row>
    <row r="113" spans="1:6" x14ac:dyDescent="0.2">
      <c r="A113" s="92" t="s">
        <v>3147</v>
      </c>
      <c r="B113" s="676"/>
    </row>
    <row r="114" spans="1:6" x14ac:dyDescent="0.2">
      <c r="A114" s="92" t="s">
        <v>3148</v>
      </c>
      <c r="B114" s="676"/>
    </row>
    <row r="115" spans="1:6" x14ac:dyDescent="0.2">
      <c r="A115" s="92" t="s">
        <v>3149</v>
      </c>
      <c r="B115" s="676"/>
    </row>
    <row r="116" spans="1:6" x14ac:dyDescent="0.2">
      <c r="B116" s="676"/>
    </row>
    <row r="117" spans="1:6" x14ac:dyDescent="0.2">
      <c r="B117" s="676"/>
    </row>
    <row r="118" spans="1:6" x14ac:dyDescent="0.2">
      <c r="B118" s="676"/>
    </row>
    <row r="119" spans="1:6" x14ac:dyDescent="0.2">
      <c r="A119" s="628" t="s">
        <v>3126</v>
      </c>
    </row>
    <row r="120" spans="1:6" x14ac:dyDescent="0.2">
      <c r="A120" s="92" t="s">
        <v>3150</v>
      </c>
    </row>
    <row r="121" spans="1:6" x14ac:dyDescent="0.2">
      <c r="A121" s="92" t="s">
        <v>3151</v>
      </c>
    </row>
    <row r="122" spans="1:6" x14ac:dyDescent="0.2">
      <c r="F122" s="677">
        <f>(1.04)^6-1</f>
        <v>0.26531901849600037</v>
      </c>
    </row>
    <row r="123" spans="1:6" x14ac:dyDescent="0.2">
      <c r="A123" s="92" t="s">
        <v>3152</v>
      </c>
    </row>
    <row r="124" spans="1:6" x14ac:dyDescent="0.2">
      <c r="A124" s="92" t="s">
        <v>3153</v>
      </c>
    </row>
    <row r="126" spans="1:6" x14ac:dyDescent="0.2">
      <c r="A126" s="628" t="s">
        <v>3127</v>
      </c>
    </row>
    <row r="127" spans="1:6" x14ac:dyDescent="0.2">
      <c r="A127" s="628"/>
    </row>
    <row r="128" spans="1:6" x14ac:dyDescent="0.2">
      <c r="A128" s="628"/>
    </row>
    <row r="129" spans="1:8" x14ac:dyDescent="0.2">
      <c r="A129" s="628"/>
    </row>
    <row r="130" spans="1:8" x14ac:dyDescent="0.2">
      <c r="A130" s="628" t="s">
        <v>3128</v>
      </c>
    </row>
    <row r="131" spans="1:8" x14ac:dyDescent="0.2">
      <c r="B131" s="676"/>
    </row>
    <row r="132" spans="1:8" x14ac:dyDescent="0.2">
      <c r="B132" s="676"/>
    </row>
    <row r="133" spans="1:8" x14ac:dyDescent="0.2">
      <c r="B133" s="676"/>
    </row>
    <row r="134" spans="1:8" x14ac:dyDescent="0.2">
      <c r="A134" s="674" t="s">
        <v>3154</v>
      </c>
      <c r="B134" s="678"/>
      <c r="C134" s="674"/>
      <c r="D134" s="674"/>
      <c r="E134" s="674"/>
      <c r="F134" s="674"/>
      <c r="G134" s="674"/>
      <c r="H134" s="674"/>
    </row>
    <row r="135" spans="1:8" x14ac:dyDescent="0.2">
      <c r="B135" s="676"/>
    </row>
    <row r="136" spans="1:8" x14ac:dyDescent="0.2">
      <c r="A136" s="92" t="s">
        <v>3155</v>
      </c>
      <c r="B136" s="676"/>
    </row>
    <row r="137" spans="1:8" x14ac:dyDescent="0.2">
      <c r="A137" s="92" t="s">
        <v>3156</v>
      </c>
      <c r="B137" s="676"/>
    </row>
    <row r="138" spans="1:8" x14ac:dyDescent="0.2">
      <c r="B138" s="676"/>
    </row>
    <row r="139" spans="1:8" x14ac:dyDescent="0.2">
      <c r="A139" s="92" t="s">
        <v>111</v>
      </c>
      <c r="B139" s="676"/>
    </row>
    <row r="140" spans="1:8" x14ac:dyDescent="0.2">
      <c r="B140" s="676"/>
    </row>
    <row r="141" spans="1:8" x14ac:dyDescent="0.2">
      <c r="A141" s="92" t="s">
        <v>3157</v>
      </c>
      <c r="B141" s="676"/>
    </row>
    <row r="142" spans="1:8" x14ac:dyDescent="0.2">
      <c r="A142" s="92" t="s">
        <v>3158</v>
      </c>
      <c r="B142" s="676"/>
    </row>
    <row r="143" spans="1:8" x14ac:dyDescent="0.2">
      <c r="A143" s="92" t="s">
        <v>3159</v>
      </c>
      <c r="B143" s="676"/>
    </row>
    <row r="144" spans="1:8" x14ac:dyDescent="0.2">
      <c r="B144" s="676"/>
    </row>
    <row r="145" spans="1:5" x14ac:dyDescent="0.2">
      <c r="B145" s="676"/>
    </row>
    <row r="146" spans="1:5" x14ac:dyDescent="0.2">
      <c r="B146" s="676"/>
    </row>
    <row r="147" spans="1:5" x14ac:dyDescent="0.2">
      <c r="B147" s="676"/>
    </row>
    <row r="148" spans="1:5" x14ac:dyDescent="0.2">
      <c r="A148" s="92" t="s">
        <v>3160</v>
      </c>
      <c r="B148" s="676"/>
    </row>
    <row r="149" spans="1:5" x14ac:dyDescent="0.2">
      <c r="A149" s="92" t="s">
        <v>3161</v>
      </c>
      <c r="B149" s="676"/>
    </row>
    <row r="150" spans="1:5" x14ac:dyDescent="0.2">
      <c r="A150" s="92" t="s">
        <v>3162</v>
      </c>
      <c r="B150" s="676"/>
    </row>
    <row r="151" spans="1:5" x14ac:dyDescent="0.2">
      <c r="A151" s="92" t="s">
        <v>3163</v>
      </c>
      <c r="B151" s="676"/>
    </row>
    <row r="152" spans="1:5" x14ac:dyDescent="0.2">
      <c r="B152" s="676"/>
    </row>
    <row r="153" spans="1:5" x14ac:dyDescent="0.2">
      <c r="A153" s="92" t="s">
        <v>3164</v>
      </c>
      <c r="B153" s="676"/>
    </row>
    <row r="154" spans="1:5" x14ac:dyDescent="0.2">
      <c r="A154" s="92" t="s">
        <v>3165</v>
      </c>
      <c r="B154" s="676"/>
    </row>
    <row r="155" spans="1:5" x14ac:dyDescent="0.2">
      <c r="B155" s="676"/>
    </row>
    <row r="156" spans="1:5" x14ac:dyDescent="0.2">
      <c r="B156" s="676"/>
      <c r="D156" s="675">
        <f>(1+3%/6)^1-1</f>
        <v>4.9999999999998934E-3</v>
      </c>
      <c r="E156" s="92" t="s">
        <v>87</v>
      </c>
    </row>
    <row r="157" spans="1:5" x14ac:dyDescent="0.2">
      <c r="B157" s="676"/>
      <c r="D157" s="92">
        <v>12</v>
      </c>
      <c r="E157" s="92" t="s">
        <v>89</v>
      </c>
    </row>
    <row r="158" spans="1:5" x14ac:dyDescent="0.2">
      <c r="B158" s="676"/>
      <c r="D158" s="92">
        <v>1000</v>
      </c>
      <c r="E158" s="92" t="s">
        <v>91</v>
      </c>
    </row>
    <row r="159" spans="1:5" x14ac:dyDescent="0.2">
      <c r="B159" s="676"/>
      <c r="D159" s="679">
        <f>PV(D156,D157,D158,D160)</f>
        <v>-11618.932066816311</v>
      </c>
      <c r="E159" s="92" t="s">
        <v>281</v>
      </c>
    </row>
    <row r="160" spans="1:5" x14ac:dyDescent="0.2">
      <c r="B160" s="676"/>
      <c r="D160" s="92">
        <v>0</v>
      </c>
      <c r="E160" s="92" t="s">
        <v>105</v>
      </c>
    </row>
    <row r="162" spans="1:8" x14ac:dyDescent="0.2">
      <c r="A162" s="674" t="s">
        <v>3166</v>
      </c>
      <c r="B162" s="674"/>
      <c r="C162" s="674"/>
      <c r="D162" s="674"/>
      <c r="E162" s="674"/>
      <c r="F162" s="674"/>
      <c r="G162" s="674"/>
      <c r="H162" s="674"/>
    </row>
    <row r="163" spans="1:8" x14ac:dyDescent="0.2">
      <c r="A163" s="92" t="s">
        <v>3167</v>
      </c>
    </row>
    <row r="164" spans="1:8" x14ac:dyDescent="0.2">
      <c r="A164" s="92" t="s">
        <v>3168</v>
      </c>
    </row>
    <row r="165" spans="1:8" x14ac:dyDescent="0.2">
      <c r="A165" s="92" t="s">
        <v>3169</v>
      </c>
    </row>
    <row r="167" spans="1:8" x14ac:dyDescent="0.2">
      <c r="A167" s="92" t="s">
        <v>111</v>
      </c>
    </row>
    <row r="169" spans="1:8" x14ac:dyDescent="0.2">
      <c r="A169" s="92" t="s">
        <v>3170</v>
      </c>
    </row>
    <row r="170" spans="1:8" x14ac:dyDescent="0.2">
      <c r="A170" s="92" t="s">
        <v>3171</v>
      </c>
    </row>
    <row r="174" spans="1:8" x14ac:dyDescent="0.2">
      <c r="A174" s="92" t="s">
        <v>3172</v>
      </c>
    </row>
    <row r="175" spans="1:8" x14ac:dyDescent="0.2">
      <c r="A175" s="92" t="s">
        <v>3173</v>
      </c>
    </row>
    <row r="176" spans="1:8" x14ac:dyDescent="0.2">
      <c r="A176" s="92" t="s">
        <v>3174</v>
      </c>
    </row>
    <row r="177" spans="1:5" x14ac:dyDescent="0.2">
      <c r="A177" s="92" t="s">
        <v>3175</v>
      </c>
    </row>
    <row r="179" spans="1:5" x14ac:dyDescent="0.2">
      <c r="A179" s="92" t="s">
        <v>3176</v>
      </c>
    </row>
    <row r="180" spans="1:5" x14ac:dyDescent="0.2">
      <c r="A180" s="92" t="s">
        <v>3178</v>
      </c>
    </row>
    <row r="181" spans="1:5" x14ac:dyDescent="0.2">
      <c r="A181" s="92" t="s">
        <v>3177</v>
      </c>
    </row>
    <row r="182" spans="1:5" x14ac:dyDescent="0.2">
      <c r="A182" s="92" t="s">
        <v>3179</v>
      </c>
    </row>
    <row r="184" spans="1:5" x14ac:dyDescent="0.2">
      <c r="C184" s="92" t="s">
        <v>3180</v>
      </c>
      <c r="E184" s="92" t="s">
        <v>3182</v>
      </c>
    </row>
    <row r="185" spans="1:5" x14ac:dyDescent="0.2">
      <c r="C185" s="92" t="s">
        <v>3181</v>
      </c>
      <c r="E185" s="92" t="s">
        <v>3183</v>
      </c>
    </row>
    <row r="187" spans="1:5" x14ac:dyDescent="0.2">
      <c r="D187" s="134">
        <f>(1+12%/2)^(2/6)-1</f>
        <v>1.9612822422216292E-2</v>
      </c>
      <c r="E187" s="92" t="s">
        <v>87</v>
      </c>
    </row>
    <row r="188" spans="1:5" x14ac:dyDescent="0.2">
      <c r="D188" s="92">
        <v>12</v>
      </c>
      <c r="E188" s="92" t="s">
        <v>89</v>
      </c>
    </row>
    <row r="189" spans="1:5" x14ac:dyDescent="0.2">
      <c r="D189" s="92">
        <v>2000</v>
      </c>
      <c r="E189" s="92" t="s">
        <v>91</v>
      </c>
    </row>
    <row r="190" spans="1:5" x14ac:dyDescent="0.2">
      <c r="D190" s="679">
        <f>PV(D187,D188,D189,D191)</f>
        <v>-21201.0624770125</v>
      </c>
      <c r="E190" s="92" t="s">
        <v>281</v>
      </c>
    </row>
    <row r="191" spans="1:5" x14ac:dyDescent="0.2">
      <c r="D191" s="92">
        <v>0</v>
      </c>
      <c r="E191" s="92" t="s">
        <v>105</v>
      </c>
    </row>
    <row r="194" spans="1:8" x14ac:dyDescent="0.2">
      <c r="A194" s="740" t="s">
        <v>3184</v>
      </c>
      <c r="B194" s="740"/>
      <c r="C194" s="740"/>
      <c r="D194" s="740"/>
      <c r="E194" s="740"/>
      <c r="F194" s="740"/>
      <c r="G194" s="740"/>
      <c r="H194" s="740"/>
    </row>
    <row r="196" spans="1:8" x14ac:dyDescent="0.2">
      <c r="A196" s="129" t="s">
        <v>3185</v>
      </c>
      <c r="B196" s="129"/>
      <c r="C196" s="129"/>
      <c r="D196" s="129"/>
      <c r="E196" s="129"/>
      <c r="F196" s="129"/>
      <c r="G196" s="129"/>
      <c r="H196" s="129"/>
    </row>
    <row r="197" spans="1:8" x14ac:dyDescent="0.2">
      <c r="A197" s="92" t="s">
        <v>1079</v>
      </c>
    </row>
    <row r="198" spans="1:8" x14ac:dyDescent="0.2">
      <c r="A198" s="92" t="s">
        <v>1080</v>
      </c>
    </row>
    <row r="199" spans="1:8" x14ac:dyDescent="0.2">
      <c r="A199" s="92" t="s">
        <v>2591</v>
      </c>
    </row>
    <row r="201" spans="1:8" x14ac:dyDescent="0.2">
      <c r="A201" s="133" t="s">
        <v>1071</v>
      </c>
      <c r="C201" s="596">
        <v>1</v>
      </c>
      <c r="D201" s="110"/>
      <c r="E201" s="110"/>
      <c r="F201" s="111"/>
      <c r="G201" s="110">
        <v>0</v>
      </c>
    </row>
    <row r="202" spans="1:8" x14ac:dyDescent="0.2">
      <c r="C202" s="461">
        <f>-20000*(1+8%)</f>
        <v>-21600</v>
      </c>
      <c r="D202" s="594" t="s">
        <v>1081</v>
      </c>
      <c r="E202" s="595"/>
      <c r="F202" s="595"/>
      <c r="G202" s="461">
        <v>20000</v>
      </c>
    </row>
    <row r="203" spans="1:8" x14ac:dyDescent="0.2">
      <c r="C203" s="460" t="s">
        <v>1082</v>
      </c>
      <c r="D203" s="595"/>
      <c r="E203" s="595"/>
      <c r="F203" s="595"/>
      <c r="G203" s="304" t="s">
        <v>1083</v>
      </c>
    </row>
    <row r="204" spans="1:8" s="304" customFormat="1" x14ac:dyDescent="0.2">
      <c r="C204" s="460" t="s">
        <v>1084</v>
      </c>
      <c r="G204" s="304" t="s">
        <v>1085</v>
      </c>
    </row>
    <row r="205" spans="1:8" s="304" customFormat="1" x14ac:dyDescent="0.2"/>
    <row r="206" spans="1:8" s="304" customFormat="1" x14ac:dyDescent="0.2">
      <c r="E206" s="459">
        <v>0.08</v>
      </c>
      <c r="G206" s="304" t="s">
        <v>1086</v>
      </c>
    </row>
    <row r="207" spans="1:8" s="304" customFormat="1" x14ac:dyDescent="0.2"/>
    <row r="208" spans="1:8" x14ac:dyDescent="0.2">
      <c r="A208" s="92" t="s">
        <v>1087</v>
      </c>
    </row>
    <row r="209" spans="1:8" x14ac:dyDescent="0.2">
      <c r="A209" s="92" t="s">
        <v>2589</v>
      </c>
    </row>
    <row r="210" spans="1:8" x14ac:dyDescent="0.2">
      <c r="A210" s="92" t="s">
        <v>2590</v>
      </c>
    </row>
    <row r="212" spans="1:8" x14ac:dyDescent="0.2">
      <c r="D212" s="92" t="s">
        <v>1088</v>
      </c>
      <c r="E212" s="92" t="s">
        <v>1089</v>
      </c>
    </row>
    <row r="213" spans="1:8" x14ac:dyDescent="0.2">
      <c r="A213" s="133" t="s">
        <v>1073</v>
      </c>
    </row>
    <row r="214" spans="1:8" x14ac:dyDescent="0.2">
      <c r="C214" s="110">
        <v>1</v>
      </c>
      <c r="D214" s="110">
        <v>0.75</v>
      </c>
      <c r="E214" s="110">
        <v>0.5</v>
      </c>
      <c r="F214" s="110">
        <v>0.25</v>
      </c>
      <c r="G214" s="110">
        <v>0</v>
      </c>
    </row>
    <row r="215" spans="1:8" x14ac:dyDescent="0.2">
      <c r="C215" s="476">
        <f>-D215*1.02</f>
        <v>-21648.643199999999</v>
      </c>
      <c r="D215" s="599">
        <f>20808*1.02</f>
        <v>21224.16</v>
      </c>
      <c r="E215" s="598">
        <f>20400*(1+2%)</f>
        <v>20808</v>
      </c>
      <c r="F215" s="598">
        <f>20000*(1+2%)</f>
        <v>20400</v>
      </c>
      <c r="G215" s="597">
        <v>20000</v>
      </c>
    </row>
    <row r="216" spans="1:8" x14ac:dyDescent="0.2">
      <c r="C216" s="595"/>
      <c r="D216" s="595"/>
      <c r="E216" s="595"/>
      <c r="F216" s="595"/>
      <c r="G216" s="595"/>
    </row>
    <row r="217" spans="1:8" x14ac:dyDescent="0.2">
      <c r="C217" s="304" t="s">
        <v>1090</v>
      </c>
      <c r="D217" s="304" t="s">
        <v>1090</v>
      </c>
      <c r="E217" s="304" t="s">
        <v>1090</v>
      </c>
      <c r="F217" s="304"/>
      <c r="G217" s="304" t="s">
        <v>1090</v>
      </c>
    </row>
    <row r="218" spans="1:8" s="304" customFormat="1" x14ac:dyDescent="0.2"/>
    <row r="219" spans="1:8" s="304" customFormat="1" x14ac:dyDescent="0.2">
      <c r="A219" s="304" t="s">
        <v>1091</v>
      </c>
    </row>
    <row r="220" spans="1:8" s="304" customFormat="1" x14ac:dyDescent="0.2">
      <c r="A220" s="304" t="s">
        <v>2592</v>
      </c>
    </row>
    <row r="221" spans="1:8" s="304" customFormat="1" x14ac:dyDescent="0.2"/>
    <row r="222" spans="1:8" s="304" customFormat="1" x14ac:dyDescent="0.2">
      <c r="E222" s="600">
        <f>-C215/G215-1</f>
        <v>8.2432159999999977E-2</v>
      </c>
      <c r="G222" s="304" t="s">
        <v>1092</v>
      </c>
    </row>
    <row r="223" spans="1:8" s="304" customFormat="1" ht="17" thickBot="1" x14ac:dyDescent="0.25"/>
    <row r="224" spans="1:8" ht="17" thickBot="1" x14ac:dyDescent="0.25">
      <c r="A224" s="477" t="s">
        <v>2593</v>
      </c>
      <c r="B224" s="125"/>
      <c r="C224" s="125"/>
      <c r="D224" s="125"/>
      <c r="E224" s="125"/>
      <c r="F224" s="125"/>
      <c r="G224" s="125"/>
      <c r="H224" s="126"/>
    </row>
    <row r="225" spans="1:8" x14ac:dyDescent="0.2">
      <c r="G225" s="741" t="s">
        <v>1093</v>
      </c>
      <c r="H225" s="741"/>
    </row>
    <row r="226" spans="1:8" x14ac:dyDescent="0.2">
      <c r="D226" s="135"/>
      <c r="E226" s="135" t="s">
        <v>1048</v>
      </c>
    </row>
    <row r="227" spans="1:8" x14ac:dyDescent="0.2">
      <c r="D227" s="135"/>
      <c r="E227" s="135"/>
    </row>
    <row r="228" spans="1:8" x14ac:dyDescent="0.2">
      <c r="E228" s="92" t="s">
        <v>1094</v>
      </c>
    </row>
    <row r="229" spans="1:8" x14ac:dyDescent="0.2">
      <c r="A229" s="92" t="s">
        <v>65</v>
      </c>
      <c r="G229" s="92" t="s">
        <v>1095</v>
      </c>
    </row>
    <row r="230" spans="1:8" x14ac:dyDescent="0.2">
      <c r="A230" s="105" t="s">
        <v>1049</v>
      </c>
      <c r="B230" s="92" t="s">
        <v>1050</v>
      </c>
      <c r="G230" s="92" t="s">
        <v>1096</v>
      </c>
    </row>
    <row r="231" spans="1:8" x14ac:dyDescent="0.2">
      <c r="A231" s="105" t="s">
        <v>1044</v>
      </c>
      <c r="B231" s="92" t="s">
        <v>1051</v>
      </c>
    </row>
    <row r="232" spans="1:8" x14ac:dyDescent="0.2">
      <c r="A232" s="105" t="s">
        <v>69</v>
      </c>
      <c r="B232" s="92" t="s">
        <v>1052</v>
      </c>
      <c r="H232" s="92" t="s">
        <v>1097</v>
      </c>
    </row>
    <row r="233" spans="1:8" x14ac:dyDescent="0.2">
      <c r="A233" s="105" t="s">
        <v>1053</v>
      </c>
      <c r="B233" s="92" t="s">
        <v>1054</v>
      </c>
      <c r="H233" s="92" t="s">
        <v>1098</v>
      </c>
    </row>
    <row r="234" spans="1:8" x14ac:dyDescent="0.2">
      <c r="H234" s="92" t="s">
        <v>1099</v>
      </c>
    </row>
    <row r="235" spans="1:8" x14ac:dyDescent="0.2">
      <c r="A235" s="136" t="s">
        <v>1100</v>
      </c>
      <c r="B235" s="137"/>
      <c r="C235" s="137"/>
      <c r="D235" s="137"/>
      <c r="E235" s="137"/>
      <c r="F235" s="137"/>
      <c r="G235" s="137"/>
      <c r="H235" s="138"/>
    </row>
    <row r="236" spans="1:8" x14ac:dyDescent="0.2">
      <c r="A236" s="139" t="s">
        <v>1101</v>
      </c>
      <c r="B236" s="111"/>
      <c r="C236" s="111"/>
      <c r="D236" s="111"/>
      <c r="E236" s="111"/>
      <c r="F236" s="111"/>
      <c r="G236" s="111"/>
      <c r="H236" s="140"/>
    </row>
    <row r="238" spans="1:8" x14ac:dyDescent="0.2">
      <c r="A238" s="129" t="s">
        <v>3186</v>
      </c>
      <c r="B238" s="129"/>
      <c r="C238" s="129"/>
      <c r="D238" s="129"/>
      <c r="E238" s="129"/>
      <c r="F238" s="129"/>
      <c r="G238" s="129"/>
      <c r="H238" s="129"/>
    </row>
    <row r="239" spans="1:8" x14ac:dyDescent="0.2">
      <c r="A239" s="92" t="s">
        <v>1102</v>
      </c>
    </row>
    <row r="240" spans="1:8" x14ac:dyDescent="0.2">
      <c r="A240" s="92" t="s">
        <v>1103</v>
      </c>
      <c r="H240" s="135" t="s">
        <v>1048</v>
      </c>
    </row>
    <row r="241" spans="1:8" x14ac:dyDescent="0.2">
      <c r="A241" s="92" t="s">
        <v>1104</v>
      </c>
      <c r="H241" s="92" t="s">
        <v>1105</v>
      </c>
    </row>
    <row r="242" spans="1:8" x14ac:dyDescent="0.2">
      <c r="A242" s="92" t="s">
        <v>1106</v>
      </c>
      <c r="H242" s="92" t="s">
        <v>1107</v>
      </c>
    </row>
    <row r="243" spans="1:8" x14ac:dyDescent="0.2">
      <c r="A243" s="92" t="s">
        <v>1108</v>
      </c>
      <c r="H243" s="92" t="s">
        <v>1109</v>
      </c>
    </row>
    <row r="244" spans="1:8" x14ac:dyDescent="0.2">
      <c r="A244" s="92" t="s">
        <v>1110</v>
      </c>
      <c r="H244" s="92" t="s">
        <v>1111</v>
      </c>
    </row>
    <row r="246" spans="1:8" x14ac:dyDescent="0.2">
      <c r="A246" s="129" t="s">
        <v>3187</v>
      </c>
      <c r="B246" s="129"/>
      <c r="C246" s="129"/>
      <c r="D246" s="129"/>
      <c r="E246" s="129"/>
      <c r="F246" s="129"/>
      <c r="G246" s="129"/>
      <c r="H246" s="129"/>
    </row>
    <row r="247" spans="1:8" x14ac:dyDescent="0.2">
      <c r="A247" s="92" t="s">
        <v>1112</v>
      </c>
      <c r="H247" s="135" t="s">
        <v>1048</v>
      </c>
    </row>
    <row r="248" spans="1:8" x14ac:dyDescent="0.2">
      <c r="A248" s="92" t="s">
        <v>1113</v>
      </c>
      <c r="F248" s="304"/>
      <c r="G248" s="304"/>
      <c r="H248" s="304" t="s">
        <v>1114</v>
      </c>
    </row>
    <row r="249" spans="1:8" x14ac:dyDescent="0.2">
      <c r="A249" s="92" t="s">
        <v>1115</v>
      </c>
      <c r="G249" s="304"/>
      <c r="H249" s="304" t="s">
        <v>1116</v>
      </c>
    </row>
    <row r="250" spans="1:8" s="304" customFormat="1" x14ac:dyDescent="0.2">
      <c r="A250" s="304" t="s">
        <v>1117</v>
      </c>
      <c r="H250" s="304" t="s">
        <v>1118</v>
      </c>
    </row>
    <row r="251" spans="1:8" s="304" customFormat="1" x14ac:dyDescent="0.2">
      <c r="A251" s="304" t="s">
        <v>1119</v>
      </c>
      <c r="H251" s="304" t="s">
        <v>1120</v>
      </c>
    </row>
    <row r="252" spans="1:8" ht="17" customHeight="1" x14ac:dyDescent="0.2"/>
    <row r="253" spans="1:8" ht="17" customHeight="1" x14ac:dyDescent="0.2">
      <c r="A253" s="92" t="s">
        <v>1121</v>
      </c>
    </row>
    <row r="254" spans="1:8" ht="17" customHeight="1" x14ac:dyDescent="0.2">
      <c r="A254" s="92" t="s">
        <v>1122</v>
      </c>
    </row>
    <row r="255" spans="1:8" ht="17" customHeight="1" x14ac:dyDescent="0.2">
      <c r="A255" s="92" t="s">
        <v>1123</v>
      </c>
    </row>
    <row r="256" spans="1:8" ht="17" customHeight="1" x14ac:dyDescent="0.2"/>
    <row r="257" spans="1:5" ht="17" customHeight="1" x14ac:dyDescent="0.2">
      <c r="A257" s="92" t="s">
        <v>1124</v>
      </c>
      <c r="B257" s="92" t="s">
        <v>1125</v>
      </c>
      <c r="D257" s="92" t="s">
        <v>1126</v>
      </c>
    </row>
    <row r="258" spans="1:5" ht="17" customHeight="1" x14ac:dyDescent="0.2">
      <c r="B258" s="92" t="s">
        <v>1127</v>
      </c>
      <c r="D258" s="92" t="s">
        <v>1128</v>
      </c>
      <c r="E258" s="92" t="s">
        <v>1129</v>
      </c>
    </row>
    <row r="259" spans="1:5" ht="17" customHeight="1" x14ac:dyDescent="0.2">
      <c r="B259" s="92" t="s">
        <v>1130</v>
      </c>
      <c r="D259" s="92">
        <v>4</v>
      </c>
    </row>
    <row r="260" spans="1:5" ht="17" customHeight="1" x14ac:dyDescent="0.2"/>
    <row r="261" spans="1:5" ht="17" customHeight="1" x14ac:dyDescent="0.2">
      <c r="A261" s="92" t="s">
        <v>1131</v>
      </c>
      <c r="B261" s="92" t="s">
        <v>1125</v>
      </c>
      <c r="D261" s="92" t="s">
        <v>1132</v>
      </c>
    </row>
    <row r="262" spans="1:5" ht="17" customHeight="1" x14ac:dyDescent="0.2">
      <c r="B262" s="92" t="s">
        <v>1127</v>
      </c>
      <c r="D262" s="92" t="s">
        <v>1128</v>
      </c>
      <c r="E262" s="92" t="s">
        <v>1129</v>
      </c>
    </row>
    <row r="263" spans="1:5" ht="17" customHeight="1" x14ac:dyDescent="0.2">
      <c r="B263" s="92" t="s">
        <v>1130</v>
      </c>
      <c r="D263" s="92">
        <v>8</v>
      </c>
    </row>
    <row r="264" spans="1:5" ht="17" customHeight="1" x14ac:dyDescent="0.2"/>
    <row r="265" spans="1:5" ht="17" customHeight="1" x14ac:dyDescent="0.2">
      <c r="A265" s="92" t="s">
        <v>1133</v>
      </c>
      <c r="B265" s="92" t="s">
        <v>1125</v>
      </c>
      <c r="D265" s="92" t="s">
        <v>347</v>
      </c>
    </row>
    <row r="266" spans="1:5" ht="17" customHeight="1" x14ac:dyDescent="0.2">
      <c r="B266" s="92" t="s">
        <v>1127</v>
      </c>
      <c r="D266" s="92" t="s">
        <v>1128</v>
      </c>
      <c r="E266" s="92" t="s">
        <v>1129</v>
      </c>
    </row>
    <row r="267" spans="1:5" ht="17" customHeight="1" x14ac:dyDescent="0.2">
      <c r="B267" s="92" t="s">
        <v>1130</v>
      </c>
      <c r="D267" s="92">
        <v>12</v>
      </c>
    </row>
    <row r="268" spans="1:5" ht="17" customHeight="1" x14ac:dyDescent="0.2"/>
    <row r="269" spans="1:5" ht="17" customHeight="1" x14ac:dyDescent="0.2">
      <c r="A269" s="92" t="s">
        <v>1133</v>
      </c>
      <c r="B269" s="92" t="s">
        <v>1125</v>
      </c>
      <c r="D269" s="92" t="s">
        <v>1134</v>
      </c>
    </row>
    <row r="270" spans="1:5" ht="17" customHeight="1" x14ac:dyDescent="0.2">
      <c r="B270" s="92" t="s">
        <v>1127</v>
      </c>
      <c r="D270" s="92" t="s">
        <v>1128</v>
      </c>
      <c r="E270" s="92" t="s">
        <v>1129</v>
      </c>
    </row>
    <row r="271" spans="1:5" ht="17" customHeight="1" x14ac:dyDescent="0.2">
      <c r="B271" s="92" t="s">
        <v>1130</v>
      </c>
      <c r="D271" s="141" t="s">
        <v>1135</v>
      </c>
      <c r="E271" s="92" t="s">
        <v>1136</v>
      </c>
    </row>
    <row r="272" spans="1:5" ht="17" customHeight="1" x14ac:dyDescent="0.2">
      <c r="E272" s="92" t="s">
        <v>1137</v>
      </c>
    </row>
    <row r="273" ht="17" customHeight="1" x14ac:dyDescent="0.2"/>
  </sheetData>
  <mergeCells count="4">
    <mergeCell ref="A1:H1"/>
    <mergeCell ref="G225:H225"/>
    <mergeCell ref="F100:F101"/>
    <mergeCell ref="A194:H194"/>
  </mergeCells>
  <phoneticPr fontId="4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4CCF27-BD4C-9E4C-98A0-E2F657A20C9A}">
  <dimension ref="A1:M751"/>
  <sheetViews>
    <sheetView rightToLeft="1" topLeftCell="A684" zoomScale="173" zoomScaleNormal="160" workbookViewId="0">
      <selection activeCell="H192" sqref="H192:H196"/>
    </sheetView>
  </sheetViews>
  <sheetFormatPr baseColWidth="10" defaultColWidth="10.83203125" defaultRowHeight="15" x14ac:dyDescent="0.2"/>
  <cols>
    <col min="1" max="16384" width="10.83203125" style="43"/>
  </cols>
  <sheetData>
    <row r="1" spans="1:8" s="92" customFormat="1" ht="16" x14ac:dyDescent="0.2">
      <c r="A1" s="740" t="s">
        <v>3188</v>
      </c>
      <c r="B1" s="740"/>
      <c r="C1" s="740"/>
      <c r="D1" s="740"/>
      <c r="E1" s="740"/>
      <c r="F1" s="740"/>
      <c r="G1" s="740"/>
      <c r="H1" s="740"/>
    </row>
    <row r="3" spans="1:8" x14ac:dyDescent="0.2">
      <c r="A3" s="148" t="s">
        <v>1216</v>
      </c>
      <c r="B3" s="147"/>
      <c r="C3" s="147"/>
      <c r="D3" s="147"/>
      <c r="E3" s="147"/>
      <c r="F3" s="147"/>
      <c r="G3" s="147"/>
      <c r="H3" s="147"/>
    </row>
    <row r="4" spans="1:8" x14ac:dyDescent="0.2">
      <c r="A4" s="43" t="s">
        <v>1217</v>
      </c>
    </row>
    <row r="5" spans="1:8" x14ac:dyDescent="0.2">
      <c r="A5" s="43" t="s">
        <v>2610</v>
      </c>
    </row>
    <row r="6" spans="1:8" x14ac:dyDescent="0.2">
      <c r="A6" s="43" t="s">
        <v>2611</v>
      </c>
    </row>
    <row r="7" spans="1:8" x14ac:dyDescent="0.2">
      <c r="A7" s="43" t="s">
        <v>2612</v>
      </c>
    </row>
    <row r="9" spans="1:8" x14ac:dyDescent="0.2">
      <c r="A9" s="43" t="s">
        <v>2613</v>
      </c>
    </row>
    <row r="11" spans="1:8" s="92" customFormat="1" ht="16" x14ac:dyDescent="0.2">
      <c r="A11" s="130" t="s">
        <v>1040</v>
      </c>
      <c r="B11" s="128"/>
      <c r="C11" s="128"/>
      <c r="D11" s="128"/>
      <c r="E11" s="128"/>
      <c r="F11" s="128"/>
      <c r="G11" s="128"/>
      <c r="H11" s="128"/>
    </row>
    <row r="12" spans="1:8" s="92" customFormat="1" ht="16" x14ac:dyDescent="0.2"/>
    <row r="13" spans="1:8" s="92" customFormat="1" ht="16" x14ac:dyDescent="0.2">
      <c r="E13" s="92" t="s">
        <v>1041</v>
      </c>
    </row>
    <row r="14" spans="1:8" s="92" customFormat="1" ht="16" x14ac:dyDescent="0.2"/>
    <row r="15" spans="1:8" s="92" customFormat="1" ht="16" x14ac:dyDescent="0.2">
      <c r="A15" s="92" t="s">
        <v>65</v>
      </c>
    </row>
    <row r="16" spans="1:8" s="92" customFormat="1" ht="16" x14ac:dyDescent="0.2">
      <c r="A16" s="105" t="s">
        <v>1042</v>
      </c>
      <c r="B16" s="92" t="s">
        <v>1043</v>
      </c>
    </row>
    <row r="17" spans="1:8" s="92" customFormat="1" ht="16" x14ac:dyDescent="0.2">
      <c r="A17" s="105" t="s">
        <v>1044</v>
      </c>
      <c r="B17" s="92" t="s">
        <v>1045</v>
      </c>
    </row>
    <row r="18" spans="1:8" s="92" customFormat="1" ht="16" x14ac:dyDescent="0.2">
      <c r="A18" s="105" t="s">
        <v>69</v>
      </c>
      <c r="B18" s="92" t="s">
        <v>1046</v>
      </c>
    </row>
    <row r="19" spans="1:8" s="92" customFormat="1" ht="16" x14ac:dyDescent="0.2"/>
    <row r="20" spans="1:8" s="92" customFormat="1" ht="16" x14ac:dyDescent="0.2">
      <c r="A20" s="130" t="s">
        <v>1047</v>
      </c>
      <c r="B20" s="128"/>
      <c r="C20" s="128"/>
      <c r="D20" s="128"/>
      <c r="E20" s="128"/>
      <c r="F20" s="128"/>
      <c r="G20" s="128"/>
      <c r="H20" s="128"/>
    </row>
    <row r="21" spans="1:8" s="92" customFormat="1" ht="16" x14ac:dyDescent="0.2"/>
    <row r="22" spans="1:8" s="92" customFormat="1" ht="16" x14ac:dyDescent="0.2">
      <c r="E22" s="92" t="s">
        <v>1048</v>
      </c>
    </row>
    <row r="23" spans="1:8" s="92" customFormat="1" ht="16" x14ac:dyDescent="0.2"/>
    <row r="24" spans="1:8" s="92" customFormat="1" ht="16" x14ac:dyDescent="0.2">
      <c r="A24" s="92" t="s">
        <v>65</v>
      </c>
    </row>
    <row r="25" spans="1:8" s="92" customFormat="1" ht="16" x14ac:dyDescent="0.2">
      <c r="A25" s="105" t="s">
        <v>1049</v>
      </c>
      <c r="B25" s="92" t="s">
        <v>1050</v>
      </c>
    </row>
    <row r="26" spans="1:8" s="92" customFormat="1" ht="16" x14ac:dyDescent="0.2">
      <c r="A26" s="105" t="s">
        <v>1044</v>
      </c>
      <c r="B26" s="92" t="s">
        <v>1051</v>
      </c>
    </row>
    <row r="27" spans="1:8" s="92" customFormat="1" ht="16" x14ac:dyDescent="0.2">
      <c r="A27" s="105" t="s">
        <v>69</v>
      </c>
      <c r="B27" s="92" t="s">
        <v>1052</v>
      </c>
    </row>
    <row r="28" spans="1:8" s="92" customFormat="1" ht="16" x14ac:dyDescent="0.2">
      <c r="A28" s="105" t="s">
        <v>1053</v>
      </c>
      <c r="B28" s="92" t="s">
        <v>1054</v>
      </c>
    </row>
    <row r="29" spans="1:8" s="92" customFormat="1" ht="16" x14ac:dyDescent="0.2"/>
    <row r="30" spans="1:8" s="92" customFormat="1" ht="16" x14ac:dyDescent="0.2">
      <c r="A30" s="130" t="s">
        <v>1055</v>
      </c>
      <c r="B30" s="128"/>
      <c r="C30" s="128"/>
      <c r="D30" s="128"/>
      <c r="E30" s="128"/>
      <c r="F30" s="128"/>
      <c r="G30" s="128"/>
      <c r="H30" s="128"/>
    </row>
    <row r="31" spans="1:8" s="92" customFormat="1" ht="16" x14ac:dyDescent="0.2"/>
    <row r="32" spans="1:8" s="92" customFormat="1" ht="16" x14ac:dyDescent="0.2">
      <c r="E32" s="92" t="s">
        <v>1056</v>
      </c>
    </row>
    <row r="33" spans="1:8" s="92" customFormat="1" ht="16" x14ac:dyDescent="0.2">
      <c r="A33" s="92" t="s">
        <v>65</v>
      </c>
    </row>
    <row r="34" spans="1:8" s="92" customFormat="1" ht="16" x14ac:dyDescent="0.2">
      <c r="A34" s="105" t="s">
        <v>1049</v>
      </c>
      <c r="B34" s="92" t="s">
        <v>1057</v>
      </c>
    </row>
    <row r="35" spans="1:8" s="92" customFormat="1" ht="16" x14ac:dyDescent="0.2">
      <c r="A35" s="105" t="s">
        <v>67</v>
      </c>
      <c r="B35" s="92" t="s">
        <v>1058</v>
      </c>
    </row>
    <row r="36" spans="1:8" s="92" customFormat="1" ht="16" x14ac:dyDescent="0.2">
      <c r="A36" s="105" t="s">
        <v>1053</v>
      </c>
      <c r="B36" s="92" t="s">
        <v>1059</v>
      </c>
    </row>
    <row r="37" spans="1:8" s="92" customFormat="1" ht="16" x14ac:dyDescent="0.2"/>
    <row r="38" spans="1:8" s="92" customFormat="1" ht="16" x14ac:dyDescent="0.2">
      <c r="A38" s="130" t="s">
        <v>1060</v>
      </c>
      <c r="B38" s="128"/>
      <c r="C38" s="128"/>
      <c r="D38" s="128"/>
      <c r="E38" s="128"/>
      <c r="F38" s="128"/>
      <c r="G38" s="128"/>
      <c r="H38" s="128"/>
    </row>
    <row r="39" spans="1:8" s="92" customFormat="1" ht="16" x14ac:dyDescent="0.2"/>
    <row r="40" spans="1:8" s="92" customFormat="1" ht="16" x14ac:dyDescent="0.2">
      <c r="E40" s="92" t="s">
        <v>1061</v>
      </c>
    </row>
    <row r="41" spans="1:8" s="92" customFormat="1" ht="16" x14ac:dyDescent="0.2">
      <c r="A41" s="92" t="s">
        <v>65</v>
      </c>
    </row>
    <row r="42" spans="1:8" s="92" customFormat="1" ht="16" x14ac:dyDescent="0.2">
      <c r="A42" s="105" t="s">
        <v>1049</v>
      </c>
      <c r="B42" s="92" t="s">
        <v>1062</v>
      </c>
    </row>
    <row r="43" spans="1:8" s="92" customFormat="1" ht="16" x14ac:dyDescent="0.2">
      <c r="A43" s="105" t="s">
        <v>1063</v>
      </c>
      <c r="B43" s="92" t="s">
        <v>1064</v>
      </c>
    </row>
    <row r="44" spans="1:8" s="92" customFormat="1" ht="16" x14ac:dyDescent="0.2">
      <c r="A44" s="105" t="s">
        <v>1065</v>
      </c>
      <c r="B44" s="92" t="s">
        <v>1066</v>
      </c>
    </row>
    <row r="46" spans="1:8" s="92" customFormat="1" ht="16" x14ac:dyDescent="0.2">
      <c r="A46" s="129" t="s">
        <v>1067</v>
      </c>
      <c r="B46" s="129"/>
      <c r="C46" s="129"/>
      <c r="D46" s="129"/>
      <c r="E46" s="129"/>
      <c r="F46" s="129"/>
      <c r="G46" s="129"/>
      <c r="H46" s="129"/>
    </row>
    <row r="47" spans="1:8" s="92" customFormat="1" ht="16" x14ac:dyDescent="0.2">
      <c r="A47" s="92" t="s">
        <v>1068</v>
      </c>
    </row>
    <row r="48" spans="1:8" s="92" customFormat="1" ht="16" x14ac:dyDescent="0.2">
      <c r="A48" s="92" t="s">
        <v>2579</v>
      </c>
    </row>
    <row r="49" spans="1:8" s="92" customFormat="1" ht="16" x14ac:dyDescent="0.2">
      <c r="A49" s="92" t="s">
        <v>2580</v>
      </c>
    </row>
    <row r="50" spans="1:8" s="92" customFormat="1" ht="16" x14ac:dyDescent="0.2">
      <c r="A50" s="92" t="s">
        <v>2581</v>
      </c>
    </row>
    <row r="51" spans="1:8" s="92" customFormat="1" ht="16" x14ac:dyDescent="0.2">
      <c r="A51" s="92" t="s">
        <v>2582</v>
      </c>
    </row>
    <row r="52" spans="1:8" s="92" customFormat="1" ht="17" thickBot="1" x14ac:dyDescent="0.25"/>
    <row r="53" spans="1:8" s="92" customFormat="1" ht="16" x14ac:dyDescent="0.2">
      <c r="A53" s="103" t="s">
        <v>1069</v>
      </c>
      <c r="B53" s="96"/>
      <c r="C53" s="96"/>
      <c r="D53" s="96"/>
      <c r="E53" s="96"/>
      <c r="F53" s="96"/>
      <c r="G53" s="96"/>
      <c r="H53" s="97"/>
    </row>
    <row r="54" spans="1:8" s="92" customFormat="1" ht="17" thickBot="1" x14ac:dyDescent="0.25">
      <c r="A54" s="100" t="s">
        <v>1070</v>
      </c>
      <c r="B54" s="101"/>
      <c r="C54" s="101"/>
      <c r="D54" s="101"/>
      <c r="E54" s="101"/>
      <c r="F54" s="101"/>
      <c r="G54" s="101"/>
      <c r="H54" s="102"/>
    </row>
    <row r="55" spans="1:8" s="92" customFormat="1" ht="16" x14ac:dyDescent="0.2"/>
    <row r="56" spans="1:8" s="92" customFormat="1" ht="16" x14ac:dyDescent="0.2">
      <c r="A56" s="92" t="s">
        <v>1071</v>
      </c>
      <c r="D56" s="131">
        <v>7.4999999999999997E-3</v>
      </c>
      <c r="E56" s="105" t="s">
        <v>1072</v>
      </c>
      <c r="G56" s="92" t="s">
        <v>1041</v>
      </c>
    </row>
    <row r="57" spans="1:8" s="92" customFormat="1" ht="16" x14ac:dyDescent="0.2">
      <c r="A57" s="92" t="s">
        <v>1073</v>
      </c>
      <c r="D57" s="131">
        <v>1.4999999999999999E-2</v>
      </c>
      <c r="E57" s="105" t="s">
        <v>1074</v>
      </c>
    </row>
    <row r="58" spans="1:8" s="92" customFormat="1" ht="16" x14ac:dyDescent="0.2">
      <c r="A58" s="92" t="s">
        <v>1075</v>
      </c>
      <c r="D58" s="131">
        <f>9%/4</f>
        <v>2.2499999999999999E-2</v>
      </c>
      <c r="E58" s="105" t="s">
        <v>1076</v>
      </c>
      <c r="F58" s="105" t="s">
        <v>2587</v>
      </c>
      <c r="G58" s="105" t="s">
        <v>1228</v>
      </c>
      <c r="H58" s="92" t="s">
        <v>2583</v>
      </c>
    </row>
    <row r="59" spans="1:8" s="92" customFormat="1" ht="16" x14ac:dyDescent="0.2">
      <c r="A59" s="92" t="s">
        <v>1077</v>
      </c>
      <c r="D59" s="131">
        <v>4.4999999999999998E-2</v>
      </c>
      <c r="E59" s="105" t="s">
        <v>1078</v>
      </c>
      <c r="F59" s="105" t="s">
        <v>2588</v>
      </c>
      <c r="G59" s="105" t="s">
        <v>2586</v>
      </c>
      <c r="H59" s="92" t="s">
        <v>2584</v>
      </c>
    </row>
    <row r="60" spans="1:8" s="92" customFormat="1" ht="16" x14ac:dyDescent="0.2">
      <c r="H60" s="92" t="s">
        <v>2585</v>
      </c>
    </row>
    <row r="61" spans="1:8" s="92" customFormat="1" ht="16" x14ac:dyDescent="0.2">
      <c r="A61" s="129" t="s">
        <v>2594</v>
      </c>
      <c r="B61" s="129"/>
      <c r="C61" s="129"/>
      <c r="D61" s="129"/>
      <c r="E61" s="129"/>
      <c r="F61" s="129"/>
      <c r="G61" s="129"/>
      <c r="H61" s="129"/>
    </row>
    <row r="62" spans="1:8" s="92" customFormat="1" ht="16" x14ac:dyDescent="0.2">
      <c r="A62" s="92" t="s">
        <v>1138</v>
      </c>
    </row>
    <row r="63" spans="1:8" s="92" customFormat="1" ht="16" x14ac:dyDescent="0.2">
      <c r="A63" s="92" t="s">
        <v>1139</v>
      </c>
    </row>
    <row r="64" spans="1:8" s="92" customFormat="1" ht="16" x14ac:dyDescent="0.2">
      <c r="A64" s="92" t="s">
        <v>1140</v>
      </c>
    </row>
    <row r="65" spans="1:8" s="92" customFormat="1" ht="16" x14ac:dyDescent="0.2">
      <c r="A65" s="92" t="s">
        <v>1141</v>
      </c>
    </row>
    <row r="66" spans="1:8" s="92" customFormat="1" ht="16" x14ac:dyDescent="0.2"/>
    <row r="67" spans="1:8" s="92" customFormat="1" ht="16" x14ac:dyDescent="0.2">
      <c r="A67" s="478" t="s">
        <v>1142</v>
      </c>
    </row>
    <row r="68" spans="1:8" s="92" customFormat="1" ht="16" x14ac:dyDescent="0.2">
      <c r="A68" s="92" t="s">
        <v>1143</v>
      </c>
    </row>
    <row r="69" spans="1:8" s="92" customFormat="1" ht="16" x14ac:dyDescent="0.2">
      <c r="E69" s="595"/>
      <c r="F69" s="680" t="s">
        <v>1048</v>
      </c>
    </row>
    <row r="70" spans="1:8" s="304" customFormat="1" ht="16" x14ac:dyDescent="0.2">
      <c r="A70" s="304" t="s">
        <v>1145</v>
      </c>
      <c r="F70" s="304" t="s">
        <v>3197</v>
      </c>
    </row>
    <row r="71" spans="1:8" s="304" customFormat="1" ht="16" x14ac:dyDescent="0.2">
      <c r="A71" s="304" t="s">
        <v>1146</v>
      </c>
      <c r="F71" s="304" t="s">
        <v>1147</v>
      </c>
      <c r="H71" s="304" t="s">
        <v>3189</v>
      </c>
    </row>
    <row r="72" spans="1:8" s="304" customFormat="1" ht="16" x14ac:dyDescent="0.2">
      <c r="A72" s="304" t="s">
        <v>1148</v>
      </c>
      <c r="H72" s="304" t="s">
        <v>3190</v>
      </c>
    </row>
    <row r="73" spans="1:8" s="304" customFormat="1" ht="16" x14ac:dyDescent="0.2">
      <c r="F73" s="304" t="s">
        <v>1149</v>
      </c>
      <c r="H73" s="304" t="s">
        <v>3191</v>
      </c>
    </row>
    <row r="74" spans="1:8" s="304" customFormat="1" ht="16" x14ac:dyDescent="0.2">
      <c r="A74" s="304" t="s">
        <v>3196</v>
      </c>
      <c r="E74" s="601">
        <f>(1.195618^(1/12)-1)*12</f>
        <v>0.1799998544405943</v>
      </c>
      <c r="F74" s="460" t="s">
        <v>197</v>
      </c>
      <c r="H74" s="304" t="s">
        <v>3192</v>
      </c>
    </row>
    <row r="75" spans="1:8" s="304" customFormat="1" ht="16" x14ac:dyDescent="0.2">
      <c r="H75" s="304" t="s">
        <v>3193</v>
      </c>
    </row>
    <row r="76" spans="1:8" s="304" customFormat="1" ht="16" x14ac:dyDescent="0.2">
      <c r="H76" s="304" t="s">
        <v>3194</v>
      </c>
    </row>
    <row r="77" spans="1:8" s="304" customFormat="1" ht="16" x14ac:dyDescent="0.2">
      <c r="H77" s="304" t="s">
        <v>3195</v>
      </c>
    </row>
    <row r="78" spans="1:8" s="92" customFormat="1" ht="16" x14ac:dyDescent="0.2">
      <c r="A78" s="479" t="s">
        <v>1150</v>
      </c>
    </row>
    <row r="79" spans="1:8" s="92" customFormat="1" ht="16" x14ac:dyDescent="0.2">
      <c r="A79" s="117" t="s">
        <v>1151</v>
      </c>
      <c r="B79" s="117"/>
      <c r="C79" s="117"/>
      <c r="D79" s="117"/>
      <c r="E79" s="117"/>
      <c r="F79" s="117"/>
      <c r="G79" s="117"/>
    </row>
    <row r="80" spans="1:8" s="92" customFormat="1" ht="16" x14ac:dyDescent="0.2">
      <c r="A80" s="117" t="s">
        <v>1152</v>
      </c>
      <c r="B80" s="117"/>
      <c r="C80" s="117"/>
      <c r="D80" s="117"/>
      <c r="E80" s="117"/>
      <c r="F80" s="117"/>
      <c r="G80" s="117"/>
    </row>
    <row r="81" spans="1:10" s="92" customFormat="1" ht="17" thickBot="1" x14ac:dyDescent="0.25"/>
    <row r="82" spans="1:10" s="92" customFormat="1" ht="16" x14ac:dyDescent="0.2">
      <c r="A82" s="103" t="s">
        <v>3198</v>
      </c>
      <c r="B82" s="96"/>
      <c r="C82" s="96"/>
      <c r="D82" s="96"/>
      <c r="E82" s="96"/>
      <c r="F82" s="96"/>
      <c r="G82" s="96"/>
      <c r="H82" s="96"/>
      <c r="I82" s="97"/>
    </row>
    <row r="83" spans="1:10" s="92" customFormat="1" ht="17" thickBot="1" x14ac:dyDescent="0.25">
      <c r="A83" s="100" t="s">
        <v>3199</v>
      </c>
      <c r="B83" s="101"/>
      <c r="C83" s="101"/>
      <c r="D83" s="101"/>
      <c r="E83" s="101"/>
      <c r="F83" s="101"/>
      <c r="G83" s="101"/>
      <c r="H83" s="101"/>
      <c r="I83" s="102"/>
    </row>
    <row r="84" spans="1:10" s="92" customFormat="1" ht="16" x14ac:dyDescent="0.2"/>
    <row r="85" spans="1:10" s="92" customFormat="1" ht="16" x14ac:dyDescent="0.2">
      <c r="A85" s="92" t="s">
        <v>3200</v>
      </c>
    </row>
    <row r="86" spans="1:10" s="92" customFormat="1" ht="16" x14ac:dyDescent="0.2">
      <c r="A86" s="92" t="s">
        <v>3201</v>
      </c>
    </row>
    <row r="87" spans="1:10" s="92" customFormat="1" ht="16" x14ac:dyDescent="0.2">
      <c r="A87" s="92" t="s">
        <v>3202</v>
      </c>
    </row>
    <row r="88" spans="1:10" s="92" customFormat="1" ht="16" x14ac:dyDescent="0.2"/>
    <row r="89" spans="1:10" s="92" customFormat="1" ht="16" x14ac:dyDescent="0.2"/>
    <row r="90" spans="1:10" s="92" customFormat="1" ht="17" thickBot="1" x14ac:dyDescent="0.25">
      <c r="B90" s="105"/>
    </row>
    <row r="91" spans="1:10" s="92" customFormat="1" ht="16" x14ac:dyDescent="0.2">
      <c r="A91" s="103" t="s">
        <v>1153</v>
      </c>
      <c r="B91" s="474"/>
      <c r="C91" s="96"/>
      <c r="D91" s="96"/>
      <c r="E91" s="96"/>
      <c r="F91" s="96"/>
      <c r="G91" s="96"/>
      <c r="H91" s="96"/>
      <c r="I91" s="97"/>
    </row>
    <row r="92" spans="1:10" s="92" customFormat="1" ht="16" x14ac:dyDescent="0.2">
      <c r="A92" s="98" t="s">
        <v>1154</v>
      </c>
      <c r="B92" s="105"/>
      <c r="I92" s="99" t="s">
        <v>1144</v>
      </c>
      <c r="J92" s="92">
        <v>1</v>
      </c>
    </row>
    <row r="93" spans="1:10" s="92" customFormat="1" ht="17" thickBot="1" x14ac:dyDescent="0.25">
      <c r="A93" s="100" t="s">
        <v>1155</v>
      </c>
      <c r="B93" s="475"/>
      <c r="C93" s="101"/>
      <c r="D93" s="101"/>
      <c r="E93" s="101"/>
      <c r="F93" s="101"/>
      <c r="G93" s="101"/>
      <c r="H93" s="101"/>
      <c r="I93" s="102" t="s">
        <v>1056</v>
      </c>
      <c r="J93" s="92">
        <v>2</v>
      </c>
    </row>
    <row r="94" spans="1:10" s="92" customFormat="1" ht="16" x14ac:dyDescent="0.2">
      <c r="B94" s="105"/>
    </row>
    <row r="95" spans="1:10" s="92" customFormat="1" ht="16" x14ac:dyDescent="0.2">
      <c r="A95" s="167" t="s">
        <v>2595</v>
      </c>
      <c r="B95" s="514"/>
      <c r="C95" s="167"/>
      <c r="D95" s="167"/>
      <c r="E95" s="167"/>
      <c r="F95" s="167"/>
      <c r="G95" s="167"/>
      <c r="H95" s="167"/>
    </row>
    <row r="96" spans="1:10" s="92" customFormat="1" ht="16" x14ac:dyDescent="0.2">
      <c r="A96" s="92" t="s">
        <v>2596</v>
      </c>
      <c r="B96" s="105"/>
    </row>
    <row r="97" spans="1:5" s="92" customFormat="1" ht="16" x14ac:dyDescent="0.2">
      <c r="A97" s="92" t="s">
        <v>3203</v>
      </c>
      <c r="B97" s="105"/>
    </row>
    <row r="98" spans="1:5" s="92" customFormat="1" ht="16" x14ac:dyDescent="0.2">
      <c r="A98" s="92" t="s">
        <v>2597</v>
      </c>
      <c r="B98" s="105"/>
    </row>
    <row r="99" spans="1:5" s="92" customFormat="1" ht="16" x14ac:dyDescent="0.2">
      <c r="B99" s="105"/>
    </row>
    <row r="100" spans="1:5" s="92" customFormat="1" ht="16" x14ac:dyDescent="0.2">
      <c r="A100" s="92" t="s">
        <v>3204</v>
      </c>
      <c r="B100" s="105"/>
    </row>
    <row r="101" spans="1:5" s="92" customFormat="1" ht="16" x14ac:dyDescent="0.2">
      <c r="A101" s="92" t="s">
        <v>611</v>
      </c>
      <c r="B101" s="105"/>
    </row>
    <row r="102" spans="1:5" s="92" customFormat="1" ht="16" x14ac:dyDescent="0.2">
      <c r="B102" s="105"/>
      <c r="E102" s="134">
        <f>(1+6%/12)^6-1</f>
        <v>3.0377509393764601E-2</v>
      </c>
    </row>
    <row r="103" spans="1:5" s="92" customFormat="1" ht="16" x14ac:dyDescent="0.2">
      <c r="B103" s="105"/>
    </row>
    <row r="104" spans="1:5" s="92" customFormat="1" ht="16" x14ac:dyDescent="0.2">
      <c r="A104" s="92" t="s">
        <v>610</v>
      </c>
      <c r="B104" s="105"/>
      <c r="E104" s="134">
        <f>(1+3.5%)^2-1</f>
        <v>7.1224999999999872E-2</v>
      </c>
    </row>
    <row r="105" spans="1:5" s="92" customFormat="1" ht="16" x14ac:dyDescent="0.2">
      <c r="B105" s="105"/>
    </row>
    <row r="106" spans="1:5" s="92" customFormat="1" ht="16" x14ac:dyDescent="0.2">
      <c r="A106" s="92" t="s">
        <v>2598</v>
      </c>
      <c r="B106" s="105"/>
    </row>
    <row r="107" spans="1:5" s="92" customFormat="1" ht="16" x14ac:dyDescent="0.2">
      <c r="B107" s="105"/>
    </row>
    <row r="108" spans="1:5" s="92" customFormat="1" ht="16" x14ac:dyDescent="0.2">
      <c r="B108" s="105"/>
    </row>
    <row r="109" spans="1:5" s="92" customFormat="1" ht="16" x14ac:dyDescent="0.2"/>
    <row r="110" spans="1:5" s="92" customFormat="1" ht="16" x14ac:dyDescent="0.2"/>
    <row r="111" spans="1:5" s="92" customFormat="1" ht="16" x14ac:dyDescent="0.2"/>
    <row r="112" spans="1:5" s="92" customFormat="1" ht="16" x14ac:dyDescent="0.2"/>
    <row r="113" spans="1:8" s="92" customFormat="1" ht="16" x14ac:dyDescent="0.2"/>
    <row r="114" spans="1:8" s="92" customFormat="1" ht="16" x14ac:dyDescent="0.2"/>
    <row r="115" spans="1:8" s="92" customFormat="1" ht="16" x14ac:dyDescent="0.2"/>
    <row r="116" spans="1:8" s="92" customFormat="1" ht="16" x14ac:dyDescent="0.2"/>
    <row r="117" spans="1:8" s="92" customFormat="1" ht="16" x14ac:dyDescent="0.2"/>
    <row r="118" spans="1:8" s="92" customFormat="1" ht="16" x14ac:dyDescent="0.2"/>
    <row r="119" spans="1:8" s="92" customFormat="1" ht="16" x14ac:dyDescent="0.2">
      <c r="A119" s="129" t="s">
        <v>2614</v>
      </c>
      <c r="B119" s="129"/>
      <c r="C119" s="129"/>
      <c r="D119" s="129"/>
      <c r="E119" s="129"/>
      <c r="F119" s="129"/>
      <c r="G119" s="129"/>
      <c r="H119" s="129"/>
    </row>
    <row r="120" spans="1:8" s="92" customFormat="1" ht="16" x14ac:dyDescent="0.2">
      <c r="A120" s="92" t="s">
        <v>1156</v>
      </c>
    </row>
    <row r="121" spans="1:8" s="92" customFormat="1" ht="16" x14ac:dyDescent="0.2">
      <c r="A121" s="92" t="s">
        <v>1157</v>
      </c>
    </row>
    <row r="122" spans="1:8" s="92" customFormat="1" ht="16" x14ac:dyDescent="0.2">
      <c r="A122" s="92" t="s">
        <v>1158</v>
      </c>
    </row>
    <row r="123" spans="1:8" s="92" customFormat="1" ht="16" x14ac:dyDescent="0.2"/>
    <row r="124" spans="1:8" s="92" customFormat="1" ht="16" x14ac:dyDescent="0.2">
      <c r="A124" s="92" t="s">
        <v>2615</v>
      </c>
    </row>
    <row r="125" spans="1:8" s="92" customFormat="1" ht="16" x14ac:dyDescent="0.2">
      <c r="A125" s="92" t="s">
        <v>2616</v>
      </c>
    </row>
    <row r="126" spans="1:8" s="92" customFormat="1" ht="16" x14ac:dyDescent="0.2">
      <c r="A126" s="92" t="s">
        <v>2617</v>
      </c>
    </row>
    <row r="127" spans="1:8" s="92" customFormat="1" ht="16" x14ac:dyDescent="0.2">
      <c r="A127" s="92" t="s">
        <v>2618</v>
      </c>
    </row>
    <row r="128" spans="1:8" s="92" customFormat="1" ht="16" x14ac:dyDescent="0.2">
      <c r="A128" s="92" t="s">
        <v>2619</v>
      </c>
    </row>
    <row r="129" spans="1:8" s="92" customFormat="1" ht="16" x14ac:dyDescent="0.2"/>
    <row r="130" spans="1:8" s="92" customFormat="1" ht="16" x14ac:dyDescent="0.2">
      <c r="A130" s="92" t="s">
        <v>2620</v>
      </c>
    </row>
    <row r="131" spans="1:8" s="92" customFormat="1" ht="17" thickBot="1" x14ac:dyDescent="0.25">
      <c r="A131" s="92" t="s">
        <v>2621</v>
      </c>
    </row>
    <row r="132" spans="1:8" s="92" customFormat="1" ht="16" x14ac:dyDescent="0.2">
      <c r="D132" s="103"/>
      <c r="E132" s="96"/>
      <c r="F132" s="96"/>
      <c r="G132" s="96"/>
      <c r="H132" s="97" t="s">
        <v>1061</v>
      </c>
    </row>
    <row r="133" spans="1:8" s="92" customFormat="1" ht="16" x14ac:dyDescent="0.2">
      <c r="D133" s="98" t="s">
        <v>65</v>
      </c>
      <c r="H133" s="99"/>
    </row>
    <row r="134" spans="1:8" s="92" customFormat="1" ht="16" x14ac:dyDescent="0.2">
      <c r="D134" s="603" t="s">
        <v>1049</v>
      </c>
      <c r="E134" s="92" t="s">
        <v>1062</v>
      </c>
      <c r="H134" s="99"/>
    </row>
    <row r="135" spans="1:8" s="92" customFormat="1" ht="16" x14ac:dyDescent="0.2">
      <c r="D135" s="603" t="s">
        <v>1063</v>
      </c>
      <c r="E135" s="92" t="s">
        <v>1064</v>
      </c>
      <c r="H135" s="99"/>
    </row>
    <row r="136" spans="1:8" s="92" customFormat="1" ht="17" thickBot="1" x14ac:dyDescent="0.25">
      <c r="D136" s="590" t="s">
        <v>1065</v>
      </c>
      <c r="E136" s="101" t="s">
        <v>1066</v>
      </c>
      <c r="F136" s="101"/>
      <c r="G136" s="101"/>
      <c r="H136" s="102"/>
    </row>
    <row r="137" spans="1:8" s="92" customFormat="1" ht="16" x14ac:dyDescent="0.2">
      <c r="D137" s="105"/>
    </row>
    <row r="138" spans="1:8" s="92" customFormat="1" ht="16" x14ac:dyDescent="0.2">
      <c r="C138" s="105" t="s">
        <v>2628</v>
      </c>
      <c r="D138" s="460" t="s">
        <v>2627</v>
      </c>
      <c r="E138" s="460" t="s">
        <v>2626</v>
      </c>
      <c r="F138" s="460" t="s">
        <v>2625</v>
      </c>
    </row>
    <row r="139" spans="1:8" s="92" customFormat="1" ht="16" x14ac:dyDescent="0.2">
      <c r="A139" s="92" t="s">
        <v>2624</v>
      </c>
      <c r="C139" s="110">
        <v>1</v>
      </c>
      <c r="D139" s="596">
        <v>0.75</v>
      </c>
      <c r="E139" s="596">
        <v>0.5</v>
      </c>
      <c r="F139" s="596">
        <v>0.25</v>
      </c>
      <c r="G139" s="110">
        <v>0</v>
      </c>
      <c r="H139" s="111"/>
    </row>
    <row r="140" spans="1:8" s="92" customFormat="1" ht="16" x14ac:dyDescent="0.2">
      <c r="A140" s="92" t="s">
        <v>1159</v>
      </c>
      <c r="C140" s="304">
        <f>100000*(1+9%/4)^4</f>
        <v>109308.33187890623</v>
      </c>
      <c r="D140" s="460"/>
      <c r="E140" s="460"/>
      <c r="F140" s="681" t="s">
        <v>1160</v>
      </c>
      <c r="G140" s="461">
        <v>100000</v>
      </c>
      <c r="H140" s="92" t="s">
        <v>1161</v>
      </c>
    </row>
    <row r="141" spans="1:8" s="92" customFormat="1" ht="17" thickBot="1" x14ac:dyDescent="0.25">
      <c r="D141" s="602"/>
      <c r="E141" s="602"/>
      <c r="F141" s="602"/>
      <c r="G141" s="460">
        <v>-750</v>
      </c>
      <c r="H141" s="92" t="s">
        <v>2622</v>
      </c>
    </row>
    <row r="142" spans="1:8" s="92" customFormat="1" ht="17" thickBot="1" x14ac:dyDescent="0.25">
      <c r="A142" s="595"/>
      <c r="B142" s="595" t="str">
        <f ca="1">_xlfn.FORMULATEXT(C142)</f>
        <v>=C140</v>
      </c>
      <c r="C142" s="682">
        <f>C140</f>
        <v>109308.33187890623</v>
      </c>
      <c r="D142" s="460" t="s">
        <v>3207</v>
      </c>
      <c r="E142" s="602"/>
      <c r="F142" s="602"/>
      <c r="G142" s="462">
        <f>G140+G141</f>
        <v>99250</v>
      </c>
      <c r="H142" s="92" t="s">
        <v>2623</v>
      </c>
    </row>
    <row r="143" spans="1:8" s="92" customFormat="1" ht="16" x14ac:dyDescent="0.2"/>
    <row r="144" spans="1:8" s="92" customFormat="1" ht="16" x14ac:dyDescent="0.2">
      <c r="A144" s="92" t="s">
        <v>3205</v>
      </c>
    </row>
    <row r="145" spans="1:10" s="92" customFormat="1" ht="16" x14ac:dyDescent="0.2">
      <c r="A145" s="92" t="s">
        <v>3206</v>
      </c>
    </row>
    <row r="146" spans="1:10" s="92" customFormat="1" ht="16" x14ac:dyDescent="0.2"/>
    <row r="147" spans="1:10" s="92" customFormat="1" ht="16" x14ac:dyDescent="0.2"/>
    <row r="148" spans="1:10" s="92" customFormat="1" ht="16" x14ac:dyDescent="0.2"/>
    <row r="149" spans="1:10" s="92" customFormat="1" ht="16" x14ac:dyDescent="0.2">
      <c r="A149" s="92" t="s">
        <v>1163</v>
      </c>
    </row>
    <row r="150" spans="1:10" s="92" customFormat="1" ht="16" x14ac:dyDescent="0.2">
      <c r="A150" s="92" t="s">
        <v>1164</v>
      </c>
    </row>
    <row r="151" spans="1:10" s="92" customFormat="1" ht="16" x14ac:dyDescent="0.2">
      <c r="B151" s="92" t="s">
        <v>2629</v>
      </c>
      <c r="G151" s="92" t="s">
        <v>1061</v>
      </c>
      <c r="H151" s="92" t="s">
        <v>65</v>
      </c>
      <c r="I151" s="92" t="s">
        <v>1065</v>
      </c>
      <c r="J151" s="92" t="s">
        <v>3208</v>
      </c>
    </row>
    <row r="152" spans="1:10" s="92" customFormat="1" ht="16" x14ac:dyDescent="0.2">
      <c r="B152" s="92" t="s">
        <v>196</v>
      </c>
      <c r="G152" s="92" t="s">
        <v>1165</v>
      </c>
      <c r="I152" s="92" t="s">
        <v>1063</v>
      </c>
      <c r="J152" s="92" t="s">
        <v>3209</v>
      </c>
    </row>
    <row r="153" spans="1:10" s="92" customFormat="1" ht="16" x14ac:dyDescent="0.2"/>
    <row r="154" spans="1:10" s="92" customFormat="1" ht="16" x14ac:dyDescent="0.2">
      <c r="A154" s="92" t="s">
        <v>2630</v>
      </c>
    </row>
    <row r="155" spans="1:10" s="92" customFormat="1" ht="16" x14ac:dyDescent="0.2">
      <c r="A155" s="92" t="s">
        <v>2631</v>
      </c>
      <c r="D155" s="92" t="s">
        <v>1048</v>
      </c>
    </row>
    <row r="156" spans="1:10" s="92" customFormat="1" ht="16" x14ac:dyDescent="0.2">
      <c r="A156" s="92" t="s">
        <v>2632</v>
      </c>
    </row>
    <row r="157" spans="1:10" s="92" customFormat="1" ht="16" x14ac:dyDescent="0.2">
      <c r="A157" s="92" t="s">
        <v>2633</v>
      </c>
    </row>
    <row r="158" spans="1:10" s="92" customFormat="1" ht="16" x14ac:dyDescent="0.2">
      <c r="A158" s="92" t="s">
        <v>2634</v>
      </c>
    </row>
    <row r="159" spans="1:10" s="92" customFormat="1" ht="16" x14ac:dyDescent="0.2">
      <c r="A159" s="92" t="s">
        <v>2635</v>
      </c>
    </row>
    <row r="160" spans="1:10" s="92" customFormat="1" ht="16" x14ac:dyDescent="0.2">
      <c r="A160" s="92" t="s">
        <v>2636</v>
      </c>
    </row>
    <row r="161" spans="1:8" s="92" customFormat="1" ht="16" x14ac:dyDescent="0.2"/>
    <row r="162" spans="1:8" s="92" customFormat="1" ht="16" x14ac:dyDescent="0.2">
      <c r="A162" s="92" t="s">
        <v>2637</v>
      </c>
    </row>
    <row r="163" spans="1:8" s="92" customFormat="1" ht="16" x14ac:dyDescent="0.2">
      <c r="A163" s="92" t="s">
        <v>2638</v>
      </c>
    </row>
    <row r="164" spans="1:8" s="92" customFormat="1" ht="16" x14ac:dyDescent="0.2">
      <c r="A164" s="92" t="s">
        <v>2639</v>
      </c>
    </row>
    <row r="165" spans="1:8" s="92" customFormat="1" ht="17" thickBot="1" x14ac:dyDescent="0.25"/>
    <row r="166" spans="1:8" s="92" customFormat="1" ht="16" x14ac:dyDescent="0.2">
      <c r="A166" s="604" t="s">
        <v>2640</v>
      </c>
      <c r="B166" s="605"/>
      <c r="C166" s="605"/>
      <c r="D166" s="605"/>
      <c r="E166" s="605"/>
      <c r="F166" s="605"/>
      <c r="G166" s="605"/>
      <c r="H166" s="606"/>
    </row>
    <row r="167" spans="1:8" s="92" customFormat="1" ht="16" x14ac:dyDescent="0.2">
      <c r="A167" s="607" t="s">
        <v>2641</v>
      </c>
      <c r="B167" s="309"/>
      <c r="C167" s="309"/>
      <c r="D167" s="309"/>
      <c r="E167" s="309"/>
      <c r="F167" s="309"/>
      <c r="G167" s="309"/>
      <c r="H167" s="608"/>
    </row>
    <row r="168" spans="1:8" s="92" customFormat="1" ht="16" x14ac:dyDescent="0.2">
      <c r="A168" s="607" t="s">
        <v>2642</v>
      </c>
      <c r="B168" s="309"/>
      <c r="C168" s="309"/>
      <c r="D168" s="309"/>
      <c r="E168" s="309"/>
      <c r="F168" s="309"/>
      <c r="G168" s="309"/>
      <c r="H168" s="608"/>
    </row>
    <row r="169" spans="1:8" s="92" customFormat="1" ht="16" x14ac:dyDescent="0.2">
      <c r="A169" s="607" t="s">
        <v>2643</v>
      </c>
      <c r="B169" s="309"/>
      <c r="C169" s="309"/>
      <c r="D169" s="309"/>
      <c r="E169" s="309"/>
      <c r="F169" s="309"/>
      <c r="G169" s="309"/>
      <c r="H169" s="608"/>
    </row>
    <row r="170" spans="1:8" s="92" customFormat="1" ht="16" x14ac:dyDescent="0.2">
      <c r="A170" s="607" t="s">
        <v>2644</v>
      </c>
      <c r="B170" s="309"/>
      <c r="C170" s="309"/>
      <c r="D170" s="309"/>
      <c r="E170" s="309"/>
      <c r="F170" s="309"/>
      <c r="G170" s="309"/>
      <c r="H170" s="608"/>
    </row>
    <row r="171" spans="1:8" s="92" customFormat="1" ht="17" thickBot="1" x14ac:dyDescent="0.25">
      <c r="A171" s="609"/>
      <c r="B171" s="610"/>
      <c r="C171" s="610"/>
      <c r="D171" s="610"/>
      <c r="E171" s="610"/>
      <c r="F171" s="610"/>
      <c r="G171" s="610"/>
      <c r="H171" s="611" t="s">
        <v>1061</v>
      </c>
    </row>
    <row r="172" spans="1:8" s="92" customFormat="1" ht="16" x14ac:dyDescent="0.2"/>
    <row r="173" spans="1:8" s="92" customFormat="1" ht="16" x14ac:dyDescent="0.2">
      <c r="A173" s="683" t="s">
        <v>3210</v>
      </c>
      <c r="B173" s="683"/>
      <c r="C173" s="683"/>
      <c r="D173" s="683"/>
      <c r="E173" s="683"/>
      <c r="F173" s="683"/>
      <c r="G173" s="683"/>
      <c r="H173" s="683"/>
    </row>
    <row r="174" spans="1:8" s="92" customFormat="1" ht="16" x14ac:dyDescent="0.2"/>
    <row r="175" spans="1:8" s="92" customFormat="1" ht="16" x14ac:dyDescent="0.2">
      <c r="A175" s="304" t="s">
        <v>3211</v>
      </c>
    </row>
    <row r="176" spans="1:8" s="92" customFormat="1" ht="16" x14ac:dyDescent="0.2">
      <c r="A176" s="92" t="s">
        <v>3212</v>
      </c>
    </row>
    <row r="177" spans="1:8" s="92" customFormat="1" ht="16" x14ac:dyDescent="0.2">
      <c r="A177" s="92" t="s">
        <v>3213</v>
      </c>
    </row>
    <row r="178" spans="1:8" s="92" customFormat="1" ht="16" x14ac:dyDescent="0.2">
      <c r="A178" s="92" t="s">
        <v>3214</v>
      </c>
    </row>
    <row r="179" spans="1:8" s="92" customFormat="1" ht="16" x14ac:dyDescent="0.2">
      <c r="A179" s="92" t="s">
        <v>3218</v>
      </c>
    </row>
    <row r="180" spans="1:8" s="92" customFormat="1" ht="16" x14ac:dyDescent="0.2">
      <c r="A180" s="92" t="s">
        <v>3215</v>
      </c>
    </row>
    <row r="181" spans="1:8" s="92" customFormat="1" ht="16" x14ac:dyDescent="0.2">
      <c r="A181" s="92" t="s">
        <v>3216</v>
      </c>
    </row>
    <row r="182" spans="1:8" s="92" customFormat="1" ht="16" x14ac:dyDescent="0.2"/>
    <row r="183" spans="1:8" s="92" customFormat="1" ht="16" x14ac:dyDescent="0.2">
      <c r="A183" s="92" t="s">
        <v>3217</v>
      </c>
    </row>
    <row r="184" spans="1:8" s="92" customFormat="1" ht="16" x14ac:dyDescent="0.2"/>
    <row r="185" spans="1:8" s="92" customFormat="1" ht="16" x14ac:dyDescent="0.2">
      <c r="B185" s="105">
        <v>1.5</v>
      </c>
      <c r="C185" s="105"/>
      <c r="D185" s="105"/>
      <c r="E185" s="105"/>
      <c r="F185" s="105"/>
      <c r="G185" s="105">
        <v>0</v>
      </c>
    </row>
    <row r="186" spans="1:8" s="92" customFormat="1" ht="16" x14ac:dyDescent="0.2">
      <c r="A186" s="92" t="s">
        <v>3219</v>
      </c>
    </row>
    <row r="187" spans="1:8" s="92" customFormat="1" ht="16" x14ac:dyDescent="0.2">
      <c r="B187" s="112">
        <f>-700000*(1+12%/6)^9</f>
        <v>-836564.79803561757</v>
      </c>
      <c r="C187" s="92" t="s">
        <v>3225</v>
      </c>
      <c r="G187" s="112">
        <v>700000</v>
      </c>
      <c r="H187" s="92" t="s">
        <v>3220</v>
      </c>
    </row>
    <row r="188" spans="1:8" s="92" customFormat="1" ht="16" x14ac:dyDescent="0.2">
      <c r="B188" s="112">
        <v>-8000</v>
      </c>
      <c r="C188" s="92" t="s">
        <v>3224</v>
      </c>
      <c r="G188" s="112">
        <v>-4000</v>
      </c>
      <c r="H188" s="92" t="s">
        <v>3221</v>
      </c>
    </row>
    <row r="189" spans="1:8" s="92" customFormat="1" ht="16" x14ac:dyDescent="0.2">
      <c r="B189" s="113">
        <f>SUM(B186:B188)</f>
        <v>-844564.79803561757</v>
      </c>
      <c r="C189" s="92" t="s">
        <v>3226</v>
      </c>
      <c r="G189" s="112">
        <f>-3%*700000</f>
        <v>-21000</v>
      </c>
      <c r="H189" s="92" t="s">
        <v>3222</v>
      </c>
    </row>
    <row r="190" spans="1:8" s="92" customFormat="1" ht="16" x14ac:dyDescent="0.2">
      <c r="G190" s="113">
        <f>SUM(G187:G189)</f>
        <v>675000</v>
      </c>
      <c r="H190" s="92" t="s">
        <v>3223</v>
      </c>
    </row>
    <row r="191" spans="1:8" s="92" customFormat="1" ht="16" x14ac:dyDescent="0.2"/>
    <row r="192" spans="1:8" s="92" customFormat="1" ht="16" x14ac:dyDescent="0.2">
      <c r="A192" s="478" t="s">
        <v>3227</v>
      </c>
      <c r="H192" s="107" t="s">
        <v>3260</v>
      </c>
    </row>
    <row r="193" spans="1:8" s="92" customFormat="1" ht="16" x14ac:dyDescent="0.2">
      <c r="C193" s="748">
        <f>B189/-G190-1</f>
        <v>0.25120710820091485</v>
      </c>
      <c r="H193" s="107" t="s">
        <v>3261</v>
      </c>
    </row>
    <row r="194" spans="1:8" s="92" customFormat="1" ht="16" x14ac:dyDescent="0.2">
      <c r="C194" s="748"/>
      <c r="H194" s="107" t="s">
        <v>3262</v>
      </c>
    </row>
    <row r="195" spans="1:8" s="92" customFormat="1" ht="16" x14ac:dyDescent="0.2">
      <c r="H195" s="107" t="s">
        <v>3263</v>
      </c>
    </row>
    <row r="196" spans="1:8" s="92" customFormat="1" ht="16" x14ac:dyDescent="0.2">
      <c r="A196" s="478" t="s">
        <v>3228</v>
      </c>
      <c r="H196" s="107" t="s">
        <v>3264</v>
      </c>
    </row>
    <row r="197" spans="1:8" s="92" customFormat="1" ht="16" x14ac:dyDescent="0.2">
      <c r="A197" s="478" t="s">
        <v>3229</v>
      </c>
    </row>
    <row r="198" spans="1:8" s="92" customFormat="1" ht="16" x14ac:dyDescent="0.2">
      <c r="A198" s="478" t="s">
        <v>3230</v>
      </c>
    </row>
    <row r="199" spans="1:8" s="92" customFormat="1" ht="16" x14ac:dyDescent="0.2">
      <c r="A199" s="478"/>
      <c r="H199" s="92" t="s">
        <v>3231</v>
      </c>
    </row>
    <row r="200" spans="1:8" s="92" customFormat="1" ht="16" x14ac:dyDescent="0.2">
      <c r="A200" s="478"/>
      <c r="H200" s="92" t="s">
        <v>3232</v>
      </c>
    </row>
    <row r="201" spans="1:8" s="92" customFormat="1" ht="16" x14ac:dyDescent="0.2">
      <c r="A201" s="478"/>
      <c r="C201" s="685">
        <f>(1+C193)^(1/1.5)-1</f>
        <v>0.16114414154438816</v>
      </c>
      <c r="H201" s="92" t="s">
        <v>3233</v>
      </c>
    </row>
    <row r="202" spans="1:8" s="92" customFormat="1" ht="16" x14ac:dyDescent="0.2">
      <c r="A202" s="478"/>
    </row>
    <row r="203" spans="1:8" s="92" customFormat="1" ht="16" x14ac:dyDescent="0.2">
      <c r="A203" s="686" t="s">
        <v>3210</v>
      </c>
      <c r="B203" s="683"/>
      <c r="C203" s="683"/>
      <c r="D203" s="683"/>
      <c r="E203" s="683"/>
      <c r="F203" s="683"/>
      <c r="G203" s="683"/>
      <c r="H203" s="683"/>
    </row>
    <row r="204" spans="1:8" s="92" customFormat="1" ht="16" x14ac:dyDescent="0.2"/>
    <row r="205" spans="1:8" s="92" customFormat="1" ht="16" x14ac:dyDescent="0.2">
      <c r="A205" s="92" t="s">
        <v>3234</v>
      </c>
    </row>
    <row r="206" spans="1:8" s="92" customFormat="1" ht="16" x14ac:dyDescent="0.2">
      <c r="A206" s="92" t="s">
        <v>3235</v>
      </c>
    </row>
    <row r="207" spans="1:8" s="92" customFormat="1" ht="16" x14ac:dyDescent="0.2">
      <c r="A207" s="92" t="s">
        <v>3236</v>
      </c>
    </row>
    <row r="208" spans="1:8" s="92" customFormat="1" ht="16" x14ac:dyDescent="0.2">
      <c r="A208" s="92" t="s">
        <v>3237</v>
      </c>
    </row>
    <row r="209" spans="1:8" s="92" customFormat="1" ht="16" x14ac:dyDescent="0.2">
      <c r="A209" s="92" t="s">
        <v>3238</v>
      </c>
    </row>
    <row r="210" spans="1:8" s="92" customFormat="1" ht="16" x14ac:dyDescent="0.2">
      <c r="A210" s="92" t="s">
        <v>3239</v>
      </c>
    </row>
    <row r="211" spans="1:8" s="92" customFormat="1" ht="16" x14ac:dyDescent="0.2"/>
    <row r="212" spans="1:8" s="92" customFormat="1" ht="16" x14ac:dyDescent="0.2">
      <c r="A212" s="92" t="s">
        <v>3240</v>
      </c>
    </row>
    <row r="213" spans="1:8" s="92" customFormat="1" ht="16" x14ac:dyDescent="0.2"/>
    <row r="214" spans="1:8" s="92" customFormat="1" ht="16" x14ac:dyDescent="0.2">
      <c r="A214" s="92" t="s">
        <v>3241</v>
      </c>
      <c r="C214" s="105">
        <v>2</v>
      </c>
      <c r="G214" s="105">
        <v>0</v>
      </c>
    </row>
    <row r="215" spans="1:8" s="92" customFormat="1" ht="16" x14ac:dyDescent="0.2"/>
    <row r="216" spans="1:8" s="92" customFormat="1" ht="16" x14ac:dyDescent="0.2">
      <c r="C216" s="112">
        <f>100000*(1+6%/2)^4+15000</f>
        <v>127550.88099999999</v>
      </c>
      <c r="D216" s="92" t="s">
        <v>3207</v>
      </c>
      <c r="G216" s="112">
        <f>-100000+4000</f>
        <v>-96000</v>
      </c>
      <c r="H216" s="92" t="s">
        <v>2656</v>
      </c>
    </row>
    <row r="217" spans="1:8" s="92" customFormat="1" ht="16" x14ac:dyDescent="0.2"/>
    <row r="218" spans="1:8" s="92" customFormat="1" ht="16" x14ac:dyDescent="0.2">
      <c r="B218" s="92" t="s">
        <v>3250</v>
      </c>
      <c r="G218" s="92" t="s">
        <v>3243</v>
      </c>
    </row>
    <row r="219" spans="1:8" s="92" customFormat="1" ht="16" x14ac:dyDescent="0.2">
      <c r="B219" s="92" t="s">
        <v>3251</v>
      </c>
      <c r="G219" s="92" t="s">
        <v>3244</v>
      </c>
    </row>
    <row r="220" spans="1:8" s="92" customFormat="1" ht="16" x14ac:dyDescent="0.2">
      <c r="D220" s="92" t="s">
        <v>3252</v>
      </c>
      <c r="G220" s="92" t="s">
        <v>3245</v>
      </c>
    </row>
    <row r="221" spans="1:8" s="92" customFormat="1" ht="16" x14ac:dyDescent="0.2">
      <c r="B221" s="749" t="s">
        <v>3253</v>
      </c>
      <c r="C221" s="749"/>
      <c r="D221" s="749"/>
      <c r="E221" s="749"/>
      <c r="F221" s="595"/>
      <c r="G221" s="304" t="s">
        <v>3246</v>
      </c>
    </row>
    <row r="222" spans="1:8" s="92" customFormat="1" ht="16" x14ac:dyDescent="0.2">
      <c r="B222" s="92" t="s">
        <v>3254</v>
      </c>
      <c r="D222" s="687"/>
      <c r="E222" s="595"/>
      <c r="F222" s="595"/>
      <c r="G222" s="304" t="s">
        <v>3247</v>
      </c>
    </row>
    <row r="223" spans="1:8" s="92" customFormat="1" ht="16" x14ac:dyDescent="0.2">
      <c r="D223" s="92" t="s">
        <v>3255</v>
      </c>
      <c r="E223" s="595"/>
      <c r="F223" s="595"/>
      <c r="G223" s="304" t="s">
        <v>3248</v>
      </c>
    </row>
    <row r="224" spans="1:8" s="92" customFormat="1" ht="16" x14ac:dyDescent="0.2">
      <c r="D224" s="687"/>
      <c r="E224" s="595"/>
      <c r="F224" s="595"/>
      <c r="G224" s="304" t="s">
        <v>3249</v>
      </c>
    </row>
    <row r="225" spans="1:4" s="92" customFormat="1" ht="16" x14ac:dyDescent="0.2"/>
    <row r="226" spans="1:4" s="92" customFormat="1" ht="16" x14ac:dyDescent="0.2"/>
    <row r="227" spans="1:4" s="92" customFormat="1" ht="16" x14ac:dyDescent="0.2"/>
    <row r="228" spans="1:4" s="92" customFormat="1" ht="16" x14ac:dyDescent="0.2">
      <c r="B228" s="93" t="s">
        <v>3256</v>
      </c>
    </row>
    <row r="229" spans="1:4" s="92" customFormat="1" ht="16" x14ac:dyDescent="0.2"/>
    <row r="230" spans="1:4" s="92" customFormat="1" ht="16" x14ac:dyDescent="0.2"/>
    <row r="231" spans="1:4" s="92" customFormat="1" ht="16" x14ac:dyDescent="0.2"/>
    <row r="232" spans="1:4" s="92" customFormat="1" ht="16" x14ac:dyDescent="0.2">
      <c r="A232" s="93" t="s">
        <v>3259</v>
      </c>
      <c r="B232" s="92" t="s">
        <v>3257</v>
      </c>
    </row>
    <row r="233" spans="1:4" s="92" customFormat="1" ht="16" x14ac:dyDescent="0.2">
      <c r="B233" s="92" t="s">
        <v>3258</v>
      </c>
    </row>
    <row r="234" spans="1:4" s="92" customFormat="1" ht="16" x14ac:dyDescent="0.2"/>
    <row r="235" spans="1:4" s="92" customFormat="1" ht="16" x14ac:dyDescent="0.2">
      <c r="A235" s="92" t="s">
        <v>3242</v>
      </c>
    </row>
    <row r="236" spans="1:4" s="92" customFormat="1" ht="16" x14ac:dyDescent="0.2"/>
    <row r="237" spans="1:4" s="92" customFormat="1" ht="16" x14ac:dyDescent="0.2"/>
    <row r="238" spans="1:4" s="92" customFormat="1" ht="16" x14ac:dyDescent="0.2"/>
    <row r="239" spans="1:4" s="92" customFormat="1" ht="16" x14ac:dyDescent="0.2">
      <c r="D239" s="684">
        <f>1.08^2-1</f>
        <v>0.1664000000000001</v>
      </c>
    </row>
    <row r="240" spans="1:4" s="92" customFormat="1" ht="16" x14ac:dyDescent="0.2"/>
    <row r="241" spans="1:8" s="92" customFormat="1" ht="16" x14ac:dyDescent="0.2"/>
    <row r="242" spans="1:8" s="92" customFormat="1" ht="16" x14ac:dyDescent="0.2"/>
    <row r="243" spans="1:8" s="92" customFormat="1" ht="16" x14ac:dyDescent="0.2"/>
    <row r="244" spans="1:8" s="92" customFormat="1" ht="16" x14ac:dyDescent="0.2"/>
    <row r="245" spans="1:8" s="92" customFormat="1" ht="16" x14ac:dyDescent="0.2">
      <c r="A245" s="129" t="s">
        <v>2599</v>
      </c>
      <c r="B245" s="129"/>
      <c r="C245" s="129"/>
      <c r="D245" s="129"/>
      <c r="E245" s="129" t="s">
        <v>780</v>
      </c>
      <c r="F245" s="129"/>
      <c r="G245" s="129"/>
      <c r="H245" s="129"/>
    </row>
    <row r="246" spans="1:8" s="92" customFormat="1" ht="16" x14ac:dyDescent="0.2">
      <c r="A246" s="92" t="s">
        <v>1167</v>
      </c>
    </row>
    <row r="247" spans="1:8" s="92" customFormat="1" ht="16" x14ac:dyDescent="0.2">
      <c r="A247" s="92" t="s">
        <v>1168</v>
      </c>
    </row>
    <row r="248" spans="1:8" s="92" customFormat="1" ht="16" x14ac:dyDescent="0.2"/>
    <row r="249" spans="1:8" s="92" customFormat="1" ht="16" x14ac:dyDescent="0.2">
      <c r="A249" s="92" t="s">
        <v>1169</v>
      </c>
    </row>
    <row r="250" spans="1:8" s="92" customFormat="1" ht="16" x14ac:dyDescent="0.2">
      <c r="A250" s="92" t="s">
        <v>1170</v>
      </c>
    </row>
    <row r="251" spans="1:8" s="92" customFormat="1" ht="16" x14ac:dyDescent="0.2"/>
    <row r="252" spans="1:8" s="92" customFormat="1" ht="16" x14ac:dyDescent="0.2">
      <c r="B252" s="110">
        <v>1</v>
      </c>
      <c r="C252" s="110"/>
      <c r="D252" s="110"/>
      <c r="E252" s="110"/>
      <c r="F252" s="110"/>
      <c r="G252" s="110">
        <v>0</v>
      </c>
    </row>
    <row r="253" spans="1:8" s="92" customFormat="1" ht="16" x14ac:dyDescent="0.2">
      <c r="B253" s="142">
        <f>-G253</f>
        <v>-100</v>
      </c>
      <c r="F253" s="92" t="s">
        <v>1171</v>
      </c>
      <c r="G253" s="105">
        <v>100</v>
      </c>
      <c r="H253" s="92" t="s">
        <v>1161</v>
      </c>
    </row>
    <row r="254" spans="1:8" s="92" customFormat="1" ht="16" x14ac:dyDescent="0.2">
      <c r="G254" s="105">
        <v>-6</v>
      </c>
      <c r="H254" s="92" t="s">
        <v>1172</v>
      </c>
    </row>
    <row r="255" spans="1:8" s="92" customFormat="1" ht="16" x14ac:dyDescent="0.2">
      <c r="G255" s="142">
        <f>G253+G254</f>
        <v>94</v>
      </c>
      <c r="H255" s="92" t="s">
        <v>1162</v>
      </c>
    </row>
    <row r="256" spans="1:8" s="92" customFormat="1" ht="16" x14ac:dyDescent="0.2"/>
    <row r="257" spans="1:8" s="92" customFormat="1" ht="16" x14ac:dyDescent="0.2">
      <c r="G257" s="92" t="s">
        <v>1173</v>
      </c>
    </row>
    <row r="258" spans="1:8" s="92" customFormat="1" ht="16" x14ac:dyDescent="0.2"/>
    <row r="259" spans="1:8" s="92" customFormat="1" ht="16" x14ac:dyDescent="0.2">
      <c r="A259" s="92" t="s">
        <v>1174</v>
      </c>
    </row>
    <row r="260" spans="1:8" s="92" customFormat="1" ht="16" x14ac:dyDescent="0.2">
      <c r="A260" s="92" t="s">
        <v>1175</v>
      </c>
    </row>
    <row r="261" spans="1:8" s="92" customFormat="1" ht="16" x14ac:dyDescent="0.2">
      <c r="A261" s="92" t="s">
        <v>1176</v>
      </c>
    </row>
    <row r="262" spans="1:8" s="92" customFormat="1" ht="16" x14ac:dyDescent="0.2">
      <c r="A262" s="92" t="s">
        <v>1177</v>
      </c>
    </row>
    <row r="263" spans="1:8" s="92" customFormat="1" ht="16" x14ac:dyDescent="0.2"/>
    <row r="264" spans="1:8" s="92" customFormat="1" ht="15" customHeight="1" x14ac:dyDescent="0.2">
      <c r="A264" s="129" t="s">
        <v>1238</v>
      </c>
      <c r="B264" s="129"/>
      <c r="C264" s="129"/>
      <c r="D264" s="129"/>
      <c r="E264" s="129" t="s">
        <v>780</v>
      </c>
      <c r="F264" s="129"/>
      <c r="G264" s="129"/>
      <c r="H264" s="129"/>
    </row>
    <row r="265" spans="1:8" s="92" customFormat="1" ht="16" x14ac:dyDescent="0.2">
      <c r="A265" s="92" t="s">
        <v>1179</v>
      </c>
    </row>
    <row r="266" spans="1:8" s="92" customFormat="1" ht="16" x14ac:dyDescent="0.2">
      <c r="A266" s="92" t="s">
        <v>1180</v>
      </c>
    </row>
    <row r="267" spans="1:8" s="92" customFormat="1" ht="16" x14ac:dyDescent="0.2">
      <c r="A267" s="92" t="s">
        <v>1181</v>
      </c>
    </row>
    <row r="268" spans="1:8" s="92" customFormat="1" ht="16" x14ac:dyDescent="0.2">
      <c r="A268" s="92" t="s">
        <v>1182</v>
      </c>
    </row>
    <row r="269" spans="1:8" s="92" customFormat="1" ht="16" x14ac:dyDescent="0.2"/>
    <row r="270" spans="1:8" s="92" customFormat="1" ht="16" x14ac:dyDescent="0.2">
      <c r="A270" s="92" t="s">
        <v>1183</v>
      </c>
      <c r="G270" s="92" t="s">
        <v>1048</v>
      </c>
    </row>
    <row r="271" spans="1:8" s="92" customFormat="1" ht="16" x14ac:dyDescent="0.2"/>
    <row r="272" spans="1:8" s="92" customFormat="1" ht="16" x14ac:dyDescent="0.2">
      <c r="A272" s="92" t="s">
        <v>65</v>
      </c>
    </row>
    <row r="273" spans="1:8" s="92" customFormat="1" ht="16" x14ac:dyDescent="0.2">
      <c r="A273" s="105" t="s">
        <v>1049</v>
      </c>
      <c r="B273" s="92" t="s">
        <v>1050</v>
      </c>
    </row>
    <row r="274" spans="1:8" s="92" customFormat="1" ht="16" x14ac:dyDescent="0.2">
      <c r="A274" s="105" t="s">
        <v>1044</v>
      </c>
      <c r="B274" s="92" t="s">
        <v>1051</v>
      </c>
    </row>
    <row r="275" spans="1:8" s="92" customFormat="1" ht="16" x14ac:dyDescent="0.2">
      <c r="A275" s="105" t="s">
        <v>69</v>
      </c>
      <c r="B275" s="92" t="s">
        <v>1052</v>
      </c>
    </row>
    <row r="276" spans="1:8" s="92" customFormat="1" ht="16" x14ac:dyDescent="0.2">
      <c r="A276" s="105" t="s">
        <v>1053</v>
      </c>
      <c r="B276" s="92" t="s">
        <v>1054</v>
      </c>
    </row>
    <row r="277" spans="1:8" s="92" customFormat="1" ht="16" x14ac:dyDescent="0.2"/>
    <row r="278" spans="1:8" s="92" customFormat="1" ht="16" x14ac:dyDescent="0.2">
      <c r="A278" s="92" t="s">
        <v>1184</v>
      </c>
    </row>
    <row r="279" spans="1:8" s="92" customFormat="1" ht="16" x14ac:dyDescent="0.2">
      <c r="A279" s="105" t="s">
        <v>695</v>
      </c>
      <c r="G279" s="92" t="s">
        <v>1185</v>
      </c>
    </row>
    <row r="280" spans="1:8" s="92" customFormat="1" ht="16" x14ac:dyDescent="0.2">
      <c r="A280" s="105" t="s">
        <v>696</v>
      </c>
      <c r="G280" s="92" t="s">
        <v>1186</v>
      </c>
    </row>
    <row r="281" spans="1:8" s="92" customFormat="1" ht="16" x14ac:dyDescent="0.2">
      <c r="A281" s="105" t="s">
        <v>1187</v>
      </c>
      <c r="G281" s="92" t="s">
        <v>1188</v>
      </c>
    </row>
    <row r="282" spans="1:8" s="92" customFormat="1" ht="16" x14ac:dyDescent="0.2"/>
    <row r="283" spans="1:8" s="92" customFormat="1" ht="16" x14ac:dyDescent="0.2">
      <c r="A283" s="129" t="s">
        <v>729</v>
      </c>
      <c r="B283" s="129"/>
      <c r="C283" s="129"/>
      <c r="D283" s="143"/>
      <c r="E283" s="129" t="s">
        <v>780</v>
      </c>
      <c r="F283" s="129"/>
      <c r="G283" s="129"/>
      <c r="H283" s="129"/>
    </row>
    <row r="284" spans="1:8" s="92" customFormat="1" ht="16" x14ac:dyDescent="0.2">
      <c r="A284" s="92" t="s">
        <v>1190</v>
      </c>
    </row>
    <row r="285" spans="1:8" s="92" customFormat="1" ht="16" x14ac:dyDescent="0.2">
      <c r="A285" s="92" t="s">
        <v>1191</v>
      </c>
    </row>
    <row r="286" spans="1:8" s="92" customFormat="1" ht="16" x14ac:dyDescent="0.2"/>
    <row r="287" spans="1:8" s="92" customFormat="1" ht="16" x14ac:dyDescent="0.2">
      <c r="A287" s="92" t="s">
        <v>1183</v>
      </c>
      <c r="G287" s="92" t="s">
        <v>1048</v>
      </c>
    </row>
    <row r="288" spans="1:8" s="92" customFormat="1" ht="16" x14ac:dyDescent="0.2"/>
    <row r="289" spans="1:8" s="92" customFormat="1" ht="16" x14ac:dyDescent="0.2">
      <c r="A289" s="92" t="s">
        <v>65</v>
      </c>
    </row>
    <row r="290" spans="1:8" s="92" customFormat="1" ht="16" x14ac:dyDescent="0.2">
      <c r="A290" s="105" t="s">
        <v>1049</v>
      </c>
      <c r="B290" s="92" t="s">
        <v>1050</v>
      </c>
    </row>
    <row r="291" spans="1:8" s="92" customFormat="1" ht="16" x14ac:dyDescent="0.2">
      <c r="A291" s="105" t="s">
        <v>1044</v>
      </c>
      <c r="B291" s="92" t="s">
        <v>1051</v>
      </c>
    </row>
    <row r="292" spans="1:8" s="92" customFormat="1" ht="16" x14ac:dyDescent="0.2">
      <c r="A292" s="105" t="s">
        <v>69</v>
      </c>
      <c r="B292" s="92" t="s">
        <v>1052</v>
      </c>
    </row>
    <row r="293" spans="1:8" s="92" customFormat="1" ht="16" x14ac:dyDescent="0.2">
      <c r="A293" s="105" t="s">
        <v>1053</v>
      </c>
      <c r="B293" s="92" t="s">
        <v>1054</v>
      </c>
    </row>
    <row r="294" spans="1:8" s="92" customFormat="1" ht="16" x14ac:dyDescent="0.2"/>
    <row r="295" spans="1:8" s="92" customFormat="1" ht="16" x14ac:dyDescent="0.2">
      <c r="A295" s="92" t="s">
        <v>1192</v>
      </c>
      <c r="E295" s="134">
        <f>1.01^6-1</f>
        <v>6.1520150601000134E-2</v>
      </c>
      <c r="G295" s="92" t="s">
        <v>1193</v>
      </c>
    </row>
    <row r="296" spans="1:8" s="92" customFormat="1" ht="16" x14ac:dyDescent="0.2"/>
    <row r="297" spans="1:8" s="92" customFormat="1" ht="16" x14ac:dyDescent="0.2">
      <c r="A297" s="92" t="s">
        <v>1194</v>
      </c>
    </row>
    <row r="298" spans="1:8" s="92" customFormat="1" ht="16" x14ac:dyDescent="0.2">
      <c r="A298" s="92" t="s">
        <v>1195</v>
      </c>
    </row>
    <row r="299" spans="1:8" s="92" customFormat="1" ht="16" x14ac:dyDescent="0.2">
      <c r="A299" s="92" t="s">
        <v>1196</v>
      </c>
    </row>
    <row r="300" spans="1:8" s="92" customFormat="1" ht="16" x14ac:dyDescent="0.2"/>
    <row r="301" spans="1:8" s="92" customFormat="1" ht="16" x14ac:dyDescent="0.2"/>
    <row r="302" spans="1:8" s="92" customFormat="1" ht="16" x14ac:dyDescent="0.2">
      <c r="A302" s="129" t="s">
        <v>2645</v>
      </c>
      <c r="B302" s="129"/>
      <c r="C302" s="129"/>
      <c r="D302" s="129"/>
      <c r="E302" s="129"/>
      <c r="F302" s="129"/>
      <c r="G302" s="129"/>
      <c r="H302" s="129"/>
    </row>
    <row r="303" spans="1:8" s="92" customFormat="1" ht="16" x14ac:dyDescent="0.2">
      <c r="A303" s="92" t="s">
        <v>2649</v>
      </c>
    </row>
    <row r="304" spans="1:8" s="92" customFormat="1" ht="16" x14ac:dyDescent="0.2"/>
    <row r="305" spans="1:8" s="92" customFormat="1" ht="16" x14ac:dyDescent="0.2">
      <c r="A305" s="92" t="s">
        <v>111</v>
      </c>
    </row>
    <row r="306" spans="1:8" s="92" customFormat="1" ht="16" x14ac:dyDescent="0.2">
      <c r="A306" s="92" t="s">
        <v>2646</v>
      </c>
    </row>
    <row r="307" spans="1:8" s="92" customFormat="1" ht="16" x14ac:dyDescent="0.2">
      <c r="A307" s="92" t="s">
        <v>2647</v>
      </c>
    </row>
    <row r="308" spans="1:8" s="92" customFormat="1" ht="16" x14ac:dyDescent="0.2">
      <c r="A308" s="92" t="s">
        <v>2648</v>
      </c>
    </row>
    <row r="309" spans="1:8" s="92" customFormat="1" ht="17" thickBot="1" x14ac:dyDescent="0.25"/>
    <row r="310" spans="1:8" s="92" customFormat="1" ht="17" thickBot="1" x14ac:dyDescent="0.25">
      <c r="A310" s="124" t="s">
        <v>1055</v>
      </c>
      <c r="B310" s="125"/>
      <c r="C310" s="125"/>
      <c r="D310" s="125"/>
      <c r="E310" s="125"/>
      <c r="F310" s="125"/>
      <c r="G310" s="125"/>
      <c r="H310" s="126"/>
    </row>
    <row r="311" spans="1:8" s="92" customFormat="1" ht="16" x14ac:dyDescent="0.2"/>
    <row r="312" spans="1:8" s="92" customFormat="1" ht="16" x14ac:dyDescent="0.2">
      <c r="E312" s="92" t="s">
        <v>1056</v>
      </c>
    </row>
    <row r="313" spans="1:8" s="92" customFormat="1" ht="16" x14ac:dyDescent="0.2">
      <c r="A313" s="92" t="s">
        <v>65</v>
      </c>
    </row>
    <row r="314" spans="1:8" s="92" customFormat="1" ht="16" x14ac:dyDescent="0.2">
      <c r="A314" s="105" t="s">
        <v>1049</v>
      </c>
      <c r="B314" s="92" t="s">
        <v>1057</v>
      </c>
    </row>
    <row r="315" spans="1:8" s="92" customFormat="1" ht="16" x14ac:dyDescent="0.2">
      <c r="A315" s="105" t="s">
        <v>67</v>
      </c>
      <c r="B315" s="92" t="s">
        <v>1058</v>
      </c>
    </row>
    <row r="316" spans="1:8" s="92" customFormat="1" ht="16" x14ac:dyDescent="0.2">
      <c r="A316" s="105" t="s">
        <v>1053</v>
      </c>
      <c r="B316" s="92" t="s">
        <v>1059</v>
      </c>
    </row>
    <row r="317" spans="1:8" s="92" customFormat="1" ht="16" x14ac:dyDescent="0.2"/>
    <row r="318" spans="1:8" s="92" customFormat="1" ht="16" x14ac:dyDescent="0.2">
      <c r="A318" s="92" t="s">
        <v>1197</v>
      </c>
    </row>
    <row r="319" spans="1:8" s="92" customFormat="1" ht="16" x14ac:dyDescent="0.2"/>
    <row r="320" spans="1:8" s="92" customFormat="1" ht="16" x14ac:dyDescent="0.2">
      <c r="B320" s="612">
        <f>(1+9.5%)^(1/12)-1</f>
        <v>7.5915342905825689E-3</v>
      </c>
      <c r="F320" s="92" t="s">
        <v>2650</v>
      </c>
    </row>
    <row r="321" spans="1:8" s="92" customFormat="1" ht="16" x14ac:dyDescent="0.2"/>
    <row r="322" spans="1:8" s="92" customFormat="1" ht="16" x14ac:dyDescent="0.2">
      <c r="A322" s="92" t="s">
        <v>842</v>
      </c>
    </row>
    <row r="323" spans="1:8" s="92" customFormat="1" ht="16" x14ac:dyDescent="0.2">
      <c r="A323" s="92" t="s">
        <v>2651</v>
      </c>
    </row>
    <row r="324" spans="1:8" s="92" customFormat="1" ht="16" x14ac:dyDescent="0.2">
      <c r="A324" s="92" t="s">
        <v>2652</v>
      </c>
    </row>
    <row r="325" spans="1:8" s="92" customFormat="1" ht="16" x14ac:dyDescent="0.2">
      <c r="A325" s="92" t="s">
        <v>2653</v>
      </c>
    </row>
    <row r="326" spans="1:8" s="92" customFormat="1" ht="16" x14ac:dyDescent="0.2"/>
    <row r="327" spans="1:8" s="92" customFormat="1" ht="16" x14ac:dyDescent="0.2"/>
    <row r="328" spans="1:8" s="92" customFormat="1" ht="16" x14ac:dyDescent="0.2">
      <c r="A328" s="129" t="s">
        <v>2600</v>
      </c>
      <c r="B328" s="129"/>
      <c r="C328" s="129"/>
      <c r="D328" s="129"/>
      <c r="E328" s="129"/>
      <c r="F328" s="129"/>
      <c r="G328" s="129"/>
      <c r="H328" s="129"/>
    </row>
    <row r="329" spans="1:8" s="92" customFormat="1" ht="16" x14ac:dyDescent="0.2">
      <c r="A329" s="92" t="s">
        <v>1198</v>
      </c>
    </row>
    <row r="330" spans="1:8" s="92" customFormat="1" ht="16" x14ac:dyDescent="0.2">
      <c r="A330" s="92" t="s">
        <v>1199</v>
      </c>
    </row>
    <row r="331" spans="1:8" s="92" customFormat="1" ht="16" x14ac:dyDescent="0.2">
      <c r="A331" s="92" t="s">
        <v>1200</v>
      </c>
    </row>
    <row r="332" spans="1:8" s="92" customFormat="1" ht="16" x14ac:dyDescent="0.2">
      <c r="A332" s="92" t="s">
        <v>1201</v>
      </c>
    </row>
    <row r="333" spans="1:8" s="92" customFormat="1" ht="16" x14ac:dyDescent="0.2">
      <c r="A333" s="92" t="s">
        <v>1202</v>
      </c>
    </row>
    <row r="334" spans="1:8" s="92" customFormat="1" ht="16" x14ac:dyDescent="0.2"/>
    <row r="335" spans="1:8" s="92" customFormat="1" ht="16" x14ac:dyDescent="0.2">
      <c r="A335" s="93" t="s">
        <v>1203</v>
      </c>
    </row>
    <row r="336" spans="1:8" s="92" customFormat="1" ht="16" x14ac:dyDescent="0.2">
      <c r="A336" s="93" t="s">
        <v>1204</v>
      </c>
    </row>
    <row r="337" spans="1:13" s="92" customFormat="1" ht="16" x14ac:dyDescent="0.2">
      <c r="A337" s="93" t="s">
        <v>1205</v>
      </c>
    </row>
    <row r="338" spans="1:13" s="92" customFormat="1" ht="16" x14ac:dyDescent="0.2"/>
    <row r="339" spans="1:13" s="92" customFormat="1" ht="16" x14ac:dyDescent="0.2"/>
    <row r="340" spans="1:13" s="92" customFormat="1" ht="16" x14ac:dyDescent="0.2">
      <c r="B340" s="110">
        <v>1</v>
      </c>
      <c r="C340" s="110"/>
      <c r="D340" s="110"/>
      <c r="E340" s="110"/>
      <c r="F340" s="110"/>
      <c r="G340" s="110">
        <v>0</v>
      </c>
    </row>
    <row r="341" spans="1:13" s="92" customFormat="1" ht="16" x14ac:dyDescent="0.2">
      <c r="A341" s="92" t="s">
        <v>1206</v>
      </c>
      <c r="B341" s="480">
        <f>-200000*1.09</f>
        <v>-218000.00000000003</v>
      </c>
      <c r="C341" s="595"/>
      <c r="D341" s="304" t="s">
        <v>1249</v>
      </c>
      <c r="E341" s="304" t="s">
        <v>2661</v>
      </c>
      <c r="F341" s="595"/>
      <c r="G341" s="461">
        <v>200000</v>
      </c>
      <c r="H341" s="92" t="s">
        <v>1207</v>
      </c>
    </row>
    <row r="342" spans="1:13" s="92" customFormat="1" ht="16" x14ac:dyDescent="0.2">
      <c r="A342" s="92" t="s">
        <v>1208</v>
      </c>
      <c r="B342" s="595"/>
      <c r="C342" s="595"/>
      <c r="D342" s="595"/>
      <c r="E342" s="595"/>
      <c r="F342" s="595"/>
      <c r="G342" s="460">
        <f>-1.5%*G341</f>
        <v>-3000</v>
      </c>
      <c r="H342" s="92" t="s">
        <v>2655</v>
      </c>
      <c r="J342" s="92" t="s">
        <v>2654</v>
      </c>
    </row>
    <row r="343" spans="1:13" s="92" customFormat="1" ht="16" x14ac:dyDescent="0.2">
      <c r="B343" s="595"/>
      <c r="C343" s="595"/>
      <c r="D343" s="595"/>
      <c r="E343" s="595"/>
      <c r="F343" s="595"/>
      <c r="G343" s="458">
        <f>G341+G342</f>
        <v>197000</v>
      </c>
      <c r="H343" s="92" t="s">
        <v>1209</v>
      </c>
      <c r="I343" s="92" t="s">
        <v>2656</v>
      </c>
    </row>
    <row r="344" spans="1:13" s="92" customFormat="1" ht="17" thickBot="1" x14ac:dyDescent="0.25"/>
    <row r="345" spans="1:13" s="304" customFormat="1" ht="16" x14ac:dyDescent="0.2">
      <c r="A345" s="617" t="s">
        <v>2664</v>
      </c>
      <c r="J345" s="304" t="s">
        <v>2657</v>
      </c>
    </row>
    <row r="346" spans="1:13" s="304" customFormat="1" ht="16" x14ac:dyDescent="0.2">
      <c r="A346" s="745">
        <v>0.106599</v>
      </c>
      <c r="B346" s="747" t="s">
        <v>2663</v>
      </c>
      <c r="C346" s="613">
        <f>-B341</f>
        <v>218000.00000000003</v>
      </c>
      <c r="D346" s="747" t="s">
        <v>1211</v>
      </c>
      <c r="E346" s="747">
        <v>-1</v>
      </c>
      <c r="F346" s="613" t="s">
        <v>2662</v>
      </c>
      <c r="G346" s="747" t="s">
        <v>1212</v>
      </c>
      <c r="I346" s="304" t="s">
        <v>2061</v>
      </c>
      <c r="J346" s="304" t="s">
        <v>2658</v>
      </c>
    </row>
    <row r="347" spans="1:13" s="304" customFormat="1" ht="17" thickBot="1" x14ac:dyDescent="0.25">
      <c r="A347" s="746"/>
      <c r="B347" s="747"/>
      <c r="C347" s="614">
        <f>G343</f>
        <v>197000</v>
      </c>
      <c r="D347" s="747"/>
      <c r="E347" s="747"/>
      <c r="F347" s="615" t="s">
        <v>1065</v>
      </c>
      <c r="G347" s="747"/>
      <c r="I347" s="616" t="s">
        <v>2660</v>
      </c>
      <c r="J347" s="616" t="s">
        <v>2659</v>
      </c>
      <c r="K347" s="616"/>
      <c r="L347" s="616"/>
      <c r="M347" s="616"/>
    </row>
    <row r="348" spans="1:13" s="304" customFormat="1" ht="16" x14ac:dyDescent="0.2"/>
    <row r="349" spans="1:13" s="304" customFormat="1" ht="16" x14ac:dyDescent="0.2">
      <c r="A349" s="304" t="s">
        <v>1214</v>
      </c>
    </row>
    <row r="350" spans="1:13" s="304" customFormat="1" ht="16" x14ac:dyDescent="0.2">
      <c r="A350" s="304" t="s">
        <v>1215</v>
      </c>
    </row>
    <row r="351" spans="1:13" s="304" customFormat="1" ht="16" x14ac:dyDescent="0.2"/>
    <row r="352" spans="1:13" s="304" customFormat="1" ht="16" x14ac:dyDescent="0.2">
      <c r="A352" s="304" t="s">
        <v>2665</v>
      </c>
    </row>
    <row r="353" spans="1:8" s="304" customFormat="1" ht="16" x14ac:dyDescent="0.2">
      <c r="A353" s="304" t="s">
        <v>2666</v>
      </c>
    </row>
    <row r="354" spans="1:8" s="304" customFormat="1" ht="16" x14ac:dyDescent="0.2">
      <c r="F354" s="304" t="s">
        <v>2667</v>
      </c>
    </row>
    <row r="355" spans="1:8" s="304" customFormat="1" ht="16" x14ac:dyDescent="0.2"/>
    <row r="356" spans="1:8" s="304" customFormat="1" ht="16" x14ac:dyDescent="0.2"/>
    <row r="357" spans="1:8" s="92" customFormat="1" ht="16" x14ac:dyDescent="0.2">
      <c r="A357" s="129" t="s">
        <v>1166</v>
      </c>
      <c r="B357" s="129"/>
      <c r="C357" s="129"/>
      <c r="D357" s="129"/>
      <c r="E357" s="129"/>
      <c r="F357" s="129" t="s">
        <v>780</v>
      </c>
      <c r="G357" s="129"/>
      <c r="H357" s="129"/>
    </row>
    <row r="358" spans="1:8" s="92" customFormat="1" ht="16" x14ac:dyDescent="0.2">
      <c r="A358" s="92" t="s">
        <v>1218</v>
      </c>
    </row>
    <row r="359" spans="1:8" s="92" customFormat="1" ht="16" x14ac:dyDescent="0.2">
      <c r="A359" s="92" t="s">
        <v>1168</v>
      </c>
    </row>
    <row r="360" spans="1:8" s="92" customFormat="1" ht="16" x14ac:dyDescent="0.2"/>
    <row r="361" spans="1:8" s="92" customFormat="1" ht="16" x14ac:dyDescent="0.2">
      <c r="A361" s="92" t="s">
        <v>1169</v>
      </c>
    </row>
    <row r="362" spans="1:8" s="92" customFormat="1" ht="16" x14ac:dyDescent="0.2">
      <c r="A362" s="92" t="s">
        <v>1170</v>
      </c>
    </row>
    <row r="363" spans="1:8" s="92" customFormat="1" ht="16" x14ac:dyDescent="0.2"/>
    <row r="364" spans="1:8" s="92" customFormat="1" ht="16" x14ac:dyDescent="0.2">
      <c r="B364" s="110">
        <v>1</v>
      </c>
      <c r="C364" s="110"/>
      <c r="D364" s="110"/>
      <c r="E364" s="110"/>
      <c r="F364" s="110"/>
      <c r="G364" s="110">
        <v>0</v>
      </c>
    </row>
    <row r="365" spans="1:8" s="92" customFormat="1" ht="16" x14ac:dyDescent="0.2">
      <c r="B365" s="142">
        <f>-G365</f>
        <v>-100</v>
      </c>
      <c r="F365" s="92" t="s">
        <v>1171</v>
      </c>
      <c r="G365" s="105">
        <v>100</v>
      </c>
      <c r="H365" s="92" t="s">
        <v>1161</v>
      </c>
    </row>
    <row r="366" spans="1:8" s="92" customFormat="1" ht="16" x14ac:dyDescent="0.2">
      <c r="G366" s="105">
        <v>-6</v>
      </c>
      <c r="H366" s="92" t="s">
        <v>1219</v>
      </c>
    </row>
    <row r="367" spans="1:8" s="92" customFormat="1" ht="16" x14ac:dyDescent="0.2">
      <c r="G367" s="142">
        <f>G365+G366</f>
        <v>94</v>
      </c>
      <c r="H367" s="92" t="s">
        <v>1162</v>
      </c>
    </row>
    <row r="368" spans="1:8" s="92" customFormat="1" ht="16" x14ac:dyDescent="0.2"/>
    <row r="369" spans="1:8" s="92" customFormat="1" ht="16" x14ac:dyDescent="0.2">
      <c r="A369" s="92" t="s">
        <v>1220</v>
      </c>
      <c r="G369" s="92" t="s">
        <v>1221</v>
      </c>
    </row>
    <row r="370" spans="1:8" s="92" customFormat="1" ht="16" x14ac:dyDescent="0.2">
      <c r="A370" s="92" t="s">
        <v>1222</v>
      </c>
    </row>
    <row r="371" spans="1:8" s="92" customFormat="1" ht="16" x14ac:dyDescent="0.2">
      <c r="A371" s="92" t="s">
        <v>1223</v>
      </c>
    </row>
    <row r="372" spans="1:8" s="92" customFormat="1" ht="16" x14ac:dyDescent="0.2"/>
    <row r="373" spans="1:8" s="92" customFormat="1" ht="16" x14ac:dyDescent="0.2">
      <c r="A373" s="92" t="s">
        <v>1224</v>
      </c>
      <c r="G373" s="92" t="s">
        <v>1173</v>
      </c>
    </row>
    <row r="374" spans="1:8" s="92" customFormat="1" ht="16" x14ac:dyDescent="0.2"/>
    <row r="375" spans="1:8" s="92" customFormat="1" ht="16" x14ac:dyDescent="0.2">
      <c r="A375" s="92" t="s">
        <v>1174</v>
      </c>
    </row>
    <row r="376" spans="1:8" s="92" customFormat="1" ht="16" x14ac:dyDescent="0.2">
      <c r="A376" s="92" t="s">
        <v>1175</v>
      </c>
    </row>
    <row r="377" spans="1:8" s="92" customFormat="1" ht="16" x14ac:dyDescent="0.2">
      <c r="A377" s="92" t="s">
        <v>1176</v>
      </c>
    </row>
    <row r="378" spans="1:8" s="92" customFormat="1" ht="16" x14ac:dyDescent="0.2">
      <c r="A378" s="92" t="s">
        <v>1177</v>
      </c>
    </row>
    <row r="379" spans="1:8" s="92" customFormat="1" ht="16" x14ac:dyDescent="0.2"/>
    <row r="380" spans="1:8" s="92" customFormat="1" ht="15" customHeight="1" x14ac:dyDescent="0.2">
      <c r="A380" s="129" t="s">
        <v>1178</v>
      </c>
      <c r="B380" s="129"/>
      <c r="C380" s="129"/>
      <c r="D380" s="129"/>
      <c r="E380" s="129"/>
      <c r="F380" s="129" t="s">
        <v>780</v>
      </c>
      <c r="G380" s="129"/>
      <c r="H380" s="129"/>
    </row>
    <row r="381" spans="1:8" s="92" customFormat="1" ht="16" x14ac:dyDescent="0.2">
      <c r="A381" s="92" t="s">
        <v>1179</v>
      </c>
    </row>
    <row r="382" spans="1:8" s="92" customFormat="1" ht="16" x14ac:dyDescent="0.2">
      <c r="A382" s="92" t="s">
        <v>1180</v>
      </c>
    </row>
    <row r="383" spans="1:8" s="92" customFormat="1" ht="16" x14ac:dyDescent="0.2">
      <c r="A383" s="92" t="s">
        <v>1181</v>
      </c>
    </row>
    <row r="384" spans="1:8" s="92" customFormat="1" ht="16" x14ac:dyDescent="0.2">
      <c r="A384" s="92" t="s">
        <v>1182</v>
      </c>
    </row>
    <row r="385" spans="1:8" s="92" customFormat="1" ht="16" x14ac:dyDescent="0.2"/>
    <row r="386" spans="1:8" s="92" customFormat="1" ht="16" x14ac:dyDescent="0.2">
      <c r="A386" s="92" t="s">
        <v>1183</v>
      </c>
      <c r="G386" s="92" t="s">
        <v>1048</v>
      </c>
    </row>
    <row r="387" spans="1:8" s="92" customFormat="1" ht="16" x14ac:dyDescent="0.2"/>
    <row r="388" spans="1:8" s="92" customFormat="1" ht="16" x14ac:dyDescent="0.2">
      <c r="A388" s="92" t="s">
        <v>65</v>
      </c>
    </row>
    <row r="389" spans="1:8" s="92" customFormat="1" ht="16" x14ac:dyDescent="0.2">
      <c r="A389" s="105" t="s">
        <v>1049</v>
      </c>
      <c r="B389" s="92" t="s">
        <v>1050</v>
      </c>
    </row>
    <row r="390" spans="1:8" s="92" customFormat="1" ht="16" x14ac:dyDescent="0.2">
      <c r="A390" s="105" t="s">
        <v>1044</v>
      </c>
      <c r="B390" s="92" t="s">
        <v>1051</v>
      </c>
    </row>
    <row r="391" spans="1:8" s="92" customFormat="1" ht="16" x14ac:dyDescent="0.2">
      <c r="A391" s="105" t="s">
        <v>69</v>
      </c>
      <c r="B391" s="92" t="s">
        <v>1052</v>
      </c>
    </row>
    <row r="392" spans="1:8" s="92" customFormat="1" ht="16" x14ac:dyDescent="0.2">
      <c r="A392" s="105" t="s">
        <v>1053</v>
      </c>
      <c r="B392" s="92" t="s">
        <v>1054</v>
      </c>
    </row>
    <row r="393" spans="1:8" s="92" customFormat="1" ht="16" x14ac:dyDescent="0.2"/>
    <row r="394" spans="1:8" s="92" customFormat="1" ht="16" x14ac:dyDescent="0.2">
      <c r="A394" s="92" t="s">
        <v>1184</v>
      </c>
    </row>
    <row r="395" spans="1:8" s="92" customFormat="1" ht="16" x14ac:dyDescent="0.2">
      <c r="A395" s="105" t="s">
        <v>695</v>
      </c>
      <c r="G395" s="92" t="s">
        <v>1185</v>
      </c>
    </row>
    <row r="396" spans="1:8" s="92" customFormat="1" ht="16" x14ac:dyDescent="0.2">
      <c r="A396" s="105" t="s">
        <v>696</v>
      </c>
      <c r="G396" s="92" t="s">
        <v>1186</v>
      </c>
    </row>
    <row r="397" spans="1:8" s="92" customFormat="1" ht="16" x14ac:dyDescent="0.2">
      <c r="A397" s="105" t="s">
        <v>1187</v>
      </c>
      <c r="G397" s="92" t="s">
        <v>1188</v>
      </c>
    </row>
    <row r="398" spans="1:8" s="92" customFormat="1" ht="17" thickBot="1" x14ac:dyDescent="0.25"/>
    <row r="399" spans="1:8" s="92" customFormat="1" ht="16" x14ac:dyDescent="0.2">
      <c r="A399" s="236" t="s">
        <v>1225</v>
      </c>
      <c r="B399" s="482"/>
      <c r="C399" s="482"/>
      <c r="D399" s="482"/>
      <c r="E399" s="482"/>
      <c r="F399" s="482"/>
      <c r="G399" s="482"/>
      <c r="H399" s="483"/>
    </row>
    <row r="400" spans="1:8" s="92" customFormat="1" ht="17" thickBot="1" x14ac:dyDescent="0.25">
      <c r="A400" s="241" t="s">
        <v>1226</v>
      </c>
      <c r="B400" s="484"/>
      <c r="C400" s="484"/>
      <c r="D400" s="484"/>
      <c r="E400" s="484"/>
      <c r="F400" s="484"/>
      <c r="G400" s="484"/>
      <c r="H400" s="485"/>
    </row>
    <row r="401" spans="1:7" s="92" customFormat="1" ht="16" x14ac:dyDescent="0.2"/>
    <row r="402" spans="1:7" s="92" customFormat="1" ht="16" x14ac:dyDescent="0.2">
      <c r="A402" s="92" t="s">
        <v>1227</v>
      </c>
    </row>
    <row r="403" spans="1:7" s="92" customFormat="1" ht="16" x14ac:dyDescent="0.2"/>
    <row r="404" spans="1:7" s="92" customFormat="1" ht="16" x14ac:dyDescent="0.2">
      <c r="A404" s="105" t="s">
        <v>1044</v>
      </c>
      <c r="B404" s="92" t="s">
        <v>1228</v>
      </c>
      <c r="G404" s="92" t="s">
        <v>1144</v>
      </c>
    </row>
    <row r="405" spans="1:7" s="92" customFormat="1" ht="16" x14ac:dyDescent="0.2">
      <c r="A405" s="105" t="s">
        <v>69</v>
      </c>
      <c r="B405" s="92" t="s">
        <v>1229</v>
      </c>
    </row>
    <row r="406" spans="1:7" s="92" customFormat="1" ht="16" x14ac:dyDescent="0.2">
      <c r="B406" s="92" t="s">
        <v>1230</v>
      </c>
    </row>
    <row r="407" spans="1:7" s="92" customFormat="1" ht="16" x14ac:dyDescent="0.2">
      <c r="A407" s="105" t="s">
        <v>1053</v>
      </c>
      <c r="B407" s="92" t="s">
        <v>1231</v>
      </c>
    </row>
    <row r="408" spans="1:7" s="92" customFormat="1" ht="16" x14ac:dyDescent="0.2">
      <c r="E408" s="486">
        <f>(1+6%/6)^3-1</f>
        <v>3.0300999999999911E-2</v>
      </c>
      <c r="G408" s="92" t="s">
        <v>1232</v>
      </c>
    </row>
    <row r="409" spans="1:7" s="92" customFormat="1" ht="16" x14ac:dyDescent="0.2"/>
    <row r="410" spans="1:7" s="92" customFormat="1" ht="16" x14ac:dyDescent="0.2">
      <c r="D410" s="92" t="s">
        <v>1233</v>
      </c>
    </row>
    <row r="411" spans="1:7" s="92" customFormat="1" ht="16" x14ac:dyDescent="0.2"/>
    <row r="412" spans="1:7" s="92" customFormat="1" ht="16" x14ac:dyDescent="0.2">
      <c r="A412" s="92" t="s">
        <v>1234</v>
      </c>
    </row>
    <row r="413" spans="1:7" s="92" customFormat="1" ht="16" x14ac:dyDescent="0.2"/>
    <row r="414" spans="1:7" s="92" customFormat="1" ht="16" x14ac:dyDescent="0.2">
      <c r="E414" s="92" t="s">
        <v>1235</v>
      </c>
    </row>
    <row r="415" spans="1:7" s="92" customFormat="1" ht="16" x14ac:dyDescent="0.2">
      <c r="G415" s="92" t="s">
        <v>1144</v>
      </c>
    </row>
    <row r="416" spans="1:7" s="92" customFormat="1" ht="16" x14ac:dyDescent="0.2">
      <c r="E416" s="486">
        <f>(1+8%/3)^12-1</f>
        <v>0.37136651622457317</v>
      </c>
      <c r="G416" s="92" t="s">
        <v>1236</v>
      </c>
    </row>
    <row r="417" spans="1:8" s="92" customFormat="1" ht="16" x14ac:dyDescent="0.2">
      <c r="A417" s="105" t="s">
        <v>1044</v>
      </c>
      <c r="B417" s="92" t="s">
        <v>1228</v>
      </c>
    </row>
    <row r="418" spans="1:8" s="92" customFormat="1" ht="16" x14ac:dyDescent="0.2">
      <c r="A418" s="105" t="s">
        <v>69</v>
      </c>
      <c r="B418" s="92" t="s">
        <v>1229</v>
      </c>
    </row>
    <row r="419" spans="1:8" s="92" customFormat="1" ht="16" x14ac:dyDescent="0.2">
      <c r="A419" s="105" t="s">
        <v>1053</v>
      </c>
      <c r="B419" s="92" t="s">
        <v>1237</v>
      </c>
    </row>
    <row r="420" spans="1:8" s="92" customFormat="1" ht="16" x14ac:dyDescent="0.2"/>
    <row r="421" spans="1:8" s="92" customFormat="1" ht="16" x14ac:dyDescent="0.2"/>
    <row r="422" spans="1:8" s="92" customFormat="1" ht="16" x14ac:dyDescent="0.2"/>
    <row r="423" spans="1:8" s="92" customFormat="1" ht="16" x14ac:dyDescent="0.2"/>
    <row r="424" spans="1:8" s="92" customFormat="1" ht="16" x14ac:dyDescent="0.2"/>
    <row r="425" spans="1:8" s="92" customFormat="1" ht="16" x14ac:dyDescent="0.2">
      <c r="A425" s="129" t="s">
        <v>2601</v>
      </c>
      <c r="B425" s="129"/>
      <c r="C425" s="129"/>
      <c r="D425" s="481" t="s">
        <v>1239</v>
      </c>
      <c r="E425" s="129"/>
      <c r="F425" s="129"/>
      <c r="G425" s="129"/>
      <c r="H425" s="129"/>
    </row>
    <row r="426" spans="1:8" s="92" customFormat="1" ht="16" x14ac:dyDescent="0.2">
      <c r="A426" s="92" t="s">
        <v>1190</v>
      </c>
    </row>
    <row r="427" spans="1:8" s="92" customFormat="1" ht="16" x14ac:dyDescent="0.2">
      <c r="A427" s="92" t="s">
        <v>1191</v>
      </c>
    </row>
    <row r="428" spans="1:8" s="92" customFormat="1" ht="16" x14ac:dyDescent="0.2"/>
    <row r="429" spans="1:8" s="92" customFormat="1" ht="16" x14ac:dyDescent="0.2">
      <c r="A429" s="92" t="s">
        <v>1183</v>
      </c>
      <c r="G429" s="92" t="s">
        <v>1048</v>
      </c>
    </row>
    <row r="430" spans="1:8" s="92" customFormat="1" ht="16" x14ac:dyDescent="0.2"/>
    <row r="431" spans="1:8" s="92" customFormat="1" ht="16" x14ac:dyDescent="0.2">
      <c r="A431" s="92" t="s">
        <v>65</v>
      </c>
    </row>
    <row r="432" spans="1:8" s="92" customFormat="1" ht="16" x14ac:dyDescent="0.2">
      <c r="A432" s="105" t="s">
        <v>1049</v>
      </c>
      <c r="B432" s="92" t="s">
        <v>1050</v>
      </c>
    </row>
    <row r="433" spans="1:8" s="92" customFormat="1" ht="16" x14ac:dyDescent="0.2">
      <c r="A433" s="105" t="s">
        <v>1044</v>
      </c>
      <c r="B433" s="92" t="s">
        <v>1051</v>
      </c>
    </row>
    <row r="434" spans="1:8" s="92" customFormat="1" ht="16" x14ac:dyDescent="0.2">
      <c r="A434" s="105" t="s">
        <v>69</v>
      </c>
      <c r="B434" s="92" t="s">
        <v>1052</v>
      </c>
    </row>
    <row r="435" spans="1:8" s="92" customFormat="1" ht="16" x14ac:dyDescent="0.2">
      <c r="A435" s="105" t="s">
        <v>1053</v>
      </c>
      <c r="B435" s="92" t="s">
        <v>1054</v>
      </c>
    </row>
    <row r="436" spans="1:8" s="92" customFormat="1" ht="16" x14ac:dyDescent="0.2"/>
    <row r="437" spans="1:8" s="92" customFormat="1" ht="16" x14ac:dyDescent="0.2">
      <c r="A437" s="92" t="s">
        <v>1192</v>
      </c>
      <c r="E437" s="134">
        <f>1.01^6-1</f>
        <v>6.1520150601000134E-2</v>
      </c>
      <c r="G437" s="92" t="s">
        <v>1193</v>
      </c>
    </row>
    <row r="438" spans="1:8" s="92" customFormat="1" ht="16" x14ac:dyDescent="0.2"/>
    <row r="439" spans="1:8" s="92" customFormat="1" ht="16" x14ac:dyDescent="0.2">
      <c r="A439" s="92" t="s">
        <v>1194</v>
      </c>
    </row>
    <row r="440" spans="1:8" s="92" customFormat="1" ht="16" x14ac:dyDescent="0.2">
      <c r="A440" s="92" t="s">
        <v>1195</v>
      </c>
    </row>
    <row r="441" spans="1:8" s="92" customFormat="1" ht="16" x14ac:dyDescent="0.2">
      <c r="A441" s="92" t="s">
        <v>1196</v>
      </c>
    </row>
    <row r="442" spans="1:8" s="92" customFormat="1" ht="16" x14ac:dyDescent="0.2"/>
    <row r="443" spans="1:8" s="92" customFormat="1" ht="16" x14ac:dyDescent="0.2"/>
    <row r="444" spans="1:8" s="92" customFormat="1" ht="16" x14ac:dyDescent="0.2">
      <c r="A444" s="129" t="s">
        <v>2602</v>
      </c>
      <c r="B444" s="129"/>
      <c r="C444" s="129"/>
      <c r="D444" s="129"/>
      <c r="E444" s="129"/>
      <c r="F444" s="129" t="s">
        <v>780</v>
      </c>
      <c r="G444" s="129"/>
      <c r="H444" s="129"/>
    </row>
    <row r="445" spans="1:8" s="92" customFormat="1" ht="16" x14ac:dyDescent="0.2">
      <c r="A445" s="92" t="s">
        <v>1240</v>
      </c>
    </row>
    <row r="446" spans="1:8" s="92" customFormat="1" ht="16" x14ac:dyDescent="0.2"/>
    <row r="447" spans="1:8" s="92" customFormat="1" ht="16" x14ac:dyDescent="0.2">
      <c r="A447" s="93" t="s">
        <v>1241</v>
      </c>
    </row>
    <row r="448" spans="1:8" s="92" customFormat="1" ht="16" x14ac:dyDescent="0.2">
      <c r="G448" s="105" t="s">
        <v>67</v>
      </c>
      <c r="H448" s="92" t="s">
        <v>1242</v>
      </c>
    </row>
    <row r="449" spans="1:8" s="92" customFormat="1" ht="16" x14ac:dyDescent="0.2">
      <c r="F449" s="92" t="s">
        <v>1243</v>
      </c>
      <c r="G449" s="105" t="s">
        <v>1053</v>
      </c>
      <c r="H449" s="92" t="s">
        <v>1244</v>
      </c>
    </row>
    <row r="450" spans="1:8" s="92" customFormat="1" ht="16" x14ac:dyDescent="0.2">
      <c r="G450" s="105" t="s">
        <v>1049</v>
      </c>
      <c r="H450" s="92" t="s">
        <v>1245</v>
      </c>
    </row>
    <row r="451" spans="1:8" s="92" customFormat="1" ht="16" x14ac:dyDescent="0.2">
      <c r="A451" s="92" t="s">
        <v>1246</v>
      </c>
    </row>
    <row r="452" spans="1:8" s="92" customFormat="1" ht="16" x14ac:dyDescent="0.2">
      <c r="B452" s="92" t="s">
        <v>1247</v>
      </c>
    </row>
    <row r="453" spans="1:8" s="92" customFormat="1" ht="16" x14ac:dyDescent="0.2">
      <c r="B453" s="92" t="s">
        <v>1248</v>
      </c>
    </row>
    <row r="454" spans="1:8" s="92" customFormat="1" ht="16" x14ac:dyDescent="0.2"/>
    <row r="455" spans="1:8" s="92" customFormat="1" ht="16" x14ac:dyDescent="0.2">
      <c r="A455" s="129" t="s">
        <v>2603</v>
      </c>
      <c r="B455" s="129"/>
      <c r="C455" s="129"/>
      <c r="D455" s="129"/>
      <c r="E455" s="129"/>
      <c r="F455" s="129"/>
      <c r="G455" s="129" t="s">
        <v>2668</v>
      </c>
      <c r="H455" s="129"/>
    </row>
    <row r="456" spans="1:8" s="92" customFormat="1" ht="16" x14ac:dyDescent="0.2">
      <c r="A456" s="92" t="s">
        <v>1198</v>
      </c>
    </row>
    <row r="457" spans="1:8" s="92" customFormat="1" ht="16" x14ac:dyDescent="0.2">
      <c r="A457" s="92" t="s">
        <v>1199</v>
      </c>
    </row>
    <row r="458" spans="1:8" s="92" customFormat="1" ht="16" x14ac:dyDescent="0.2">
      <c r="A458" s="92" t="s">
        <v>1200</v>
      </c>
    </row>
    <row r="459" spans="1:8" s="92" customFormat="1" ht="16" x14ac:dyDescent="0.2">
      <c r="A459" s="92" t="s">
        <v>1201</v>
      </c>
    </row>
    <row r="460" spans="1:8" s="92" customFormat="1" ht="16" x14ac:dyDescent="0.2">
      <c r="A460" s="92" t="s">
        <v>1202</v>
      </c>
    </row>
    <row r="461" spans="1:8" s="92" customFormat="1" ht="16" x14ac:dyDescent="0.2"/>
    <row r="462" spans="1:8" s="92" customFormat="1" ht="16" x14ac:dyDescent="0.2">
      <c r="A462" s="93" t="s">
        <v>1203</v>
      </c>
    </row>
    <row r="463" spans="1:8" s="92" customFormat="1" ht="16" x14ac:dyDescent="0.2">
      <c r="A463" s="93" t="s">
        <v>1204</v>
      </c>
    </row>
    <row r="464" spans="1:8" s="92" customFormat="1" ht="16" x14ac:dyDescent="0.2">
      <c r="A464" s="93" t="s">
        <v>1205</v>
      </c>
    </row>
    <row r="465" spans="1:9" s="92" customFormat="1" ht="16" x14ac:dyDescent="0.2"/>
    <row r="466" spans="1:9" s="92" customFormat="1" ht="16" x14ac:dyDescent="0.2"/>
    <row r="467" spans="1:9" s="92" customFormat="1" ht="17" thickBot="1" x14ac:dyDescent="0.25">
      <c r="B467" s="105">
        <v>1</v>
      </c>
      <c r="C467" s="110"/>
      <c r="D467" s="110"/>
      <c r="E467" s="110"/>
      <c r="F467" s="110"/>
      <c r="G467" s="110">
        <v>0</v>
      </c>
    </row>
    <row r="468" spans="1:9" s="92" customFormat="1" ht="17" thickBot="1" x14ac:dyDescent="0.25">
      <c r="A468" s="92" t="s">
        <v>1206</v>
      </c>
      <c r="B468" s="487">
        <f>-200000*1.09</f>
        <v>-218000.00000000003</v>
      </c>
      <c r="D468" s="92" t="s">
        <v>1249</v>
      </c>
      <c r="G468" s="112">
        <v>200000</v>
      </c>
      <c r="H468" s="92" t="s">
        <v>1250</v>
      </c>
    </row>
    <row r="469" spans="1:9" s="92" customFormat="1" ht="17" thickBot="1" x14ac:dyDescent="0.25">
      <c r="A469" s="92" t="s">
        <v>1208</v>
      </c>
      <c r="B469" s="142" t="s">
        <v>1251</v>
      </c>
      <c r="G469" s="112">
        <f>-1.5%*G468</f>
        <v>-3000</v>
      </c>
      <c r="H469" s="92" t="s">
        <v>1252</v>
      </c>
    </row>
    <row r="470" spans="1:9" s="92" customFormat="1" ht="17" thickBot="1" x14ac:dyDescent="0.25">
      <c r="G470" s="488">
        <f>G468+G469</f>
        <v>197000</v>
      </c>
      <c r="H470" s="92" t="s">
        <v>1209</v>
      </c>
    </row>
    <row r="471" spans="1:9" s="92" customFormat="1" ht="16" x14ac:dyDescent="0.2">
      <c r="G471" s="113" t="s">
        <v>1253</v>
      </c>
    </row>
    <row r="472" spans="1:9" s="92" customFormat="1" ht="16" x14ac:dyDescent="0.2">
      <c r="G472" s="142" t="s">
        <v>1254</v>
      </c>
    </row>
    <row r="473" spans="1:9" s="92" customFormat="1" ht="16" x14ac:dyDescent="0.2">
      <c r="A473" s="92" t="s">
        <v>1255</v>
      </c>
    </row>
    <row r="474" spans="1:9" s="92" customFormat="1" ht="16" x14ac:dyDescent="0.2">
      <c r="A474" s="92" t="s">
        <v>1256</v>
      </c>
    </row>
    <row r="475" spans="1:9" s="92" customFormat="1" ht="16" x14ac:dyDescent="0.2"/>
    <row r="476" spans="1:9" s="92" customFormat="1" ht="16" x14ac:dyDescent="0.2">
      <c r="A476" s="744">
        <v>0.106599</v>
      </c>
      <c r="B476" s="743" t="s">
        <v>1210</v>
      </c>
      <c r="C476" s="144">
        <f>-B468</f>
        <v>218000.00000000003</v>
      </c>
      <c r="D476" s="743" t="s">
        <v>1211</v>
      </c>
      <c r="E476" s="743">
        <v>-1</v>
      </c>
      <c r="F476" s="144" t="s">
        <v>1206</v>
      </c>
      <c r="G476" s="743" t="s">
        <v>1212</v>
      </c>
      <c r="H476" s="743" t="s">
        <v>1257</v>
      </c>
      <c r="I476" s="743"/>
    </row>
    <row r="477" spans="1:9" s="92" customFormat="1" ht="16" x14ac:dyDescent="0.2">
      <c r="A477" s="744"/>
      <c r="B477" s="743"/>
      <c r="C477" s="146">
        <f>G470</f>
        <v>197000</v>
      </c>
      <c r="D477" s="743"/>
      <c r="E477" s="743"/>
      <c r="F477" s="145" t="s">
        <v>1213</v>
      </c>
      <c r="G477" s="743"/>
      <c r="H477" s="743"/>
      <c r="I477" s="743"/>
    </row>
    <row r="478" spans="1:9" s="92" customFormat="1" ht="16" x14ac:dyDescent="0.2"/>
    <row r="479" spans="1:9" s="92" customFormat="1" ht="16" x14ac:dyDescent="0.2">
      <c r="A479" s="92" t="s">
        <v>1214</v>
      </c>
    </row>
    <row r="480" spans="1:9" s="92" customFormat="1" ht="16" x14ac:dyDescent="0.2">
      <c r="A480" s="92" t="s">
        <v>1215</v>
      </c>
    </row>
    <row r="482" spans="1:8" x14ac:dyDescent="0.2">
      <c r="A482" s="148" t="s">
        <v>1398</v>
      </c>
      <c r="B482" s="148" t="s">
        <v>1258</v>
      </c>
      <c r="C482" s="148"/>
      <c r="D482" s="148"/>
      <c r="E482" s="148"/>
      <c r="F482" s="148"/>
      <c r="G482" s="148"/>
      <c r="H482" s="148"/>
    </row>
    <row r="483" spans="1:8" x14ac:dyDescent="0.2">
      <c r="A483" s="43" t="s">
        <v>1259</v>
      </c>
    </row>
    <row r="484" spans="1:8" x14ac:dyDescent="0.2">
      <c r="A484" s="43" t="s">
        <v>1260</v>
      </c>
    </row>
    <row r="486" spans="1:8" x14ac:dyDescent="0.2">
      <c r="A486" s="43" t="s">
        <v>1261</v>
      </c>
      <c r="B486" s="43" t="s">
        <v>1262</v>
      </c>
    </row>
    <row r="487" spans="1:8" x14ac:dyDescent="0.2">
      <c r="B487" s="43" t="s">
        <v>1263</v>
      </c>
    </row>
    <row r="489" spans="1:8" x14ac:dyDescent="0.2">
      <c r="A489" s="43" t="s">
        <v>1264</v>
      </c>
      <c r="B489" s="43" t="s">
        <v>1265</v>
      </c>
    </row>
    <row r="490" spans="1:8" x14ac:dyDescent="0.2">
      <c r="B490" s="43" t="s">
        <v>1266</v>
      </c>
    </row>
    <row r="492" spans="1:8" x14ac:dyDescent="0.2">
      <c r="A492" s="44" t="s">
        <v>2669</v>
      </c>
    </row>
    <row r="493" spans="1:8" x14ac:dyDescent="0.2">
      <c r="A493" s="44"/>
    </row>
    <row r="494" spans="1:8" x14ac:dyDescent="0.2">
      <c r="A494" s="148" t="s">
        <v>1398</v>
      </c>
      <c r="B494" s="148" t="s">
        <v>1267</v>
      </c>
      <c r="C494" s="148"/>
      <c r="D494" s="148"/>
      <c r="E494" s="148"/>
      <c r="F494" s="148"/>
      <c r="G494" s="148"/>
      <c r="H494" s="148"/>
    </row>
    <row r="495" spans="1:8" x14ac:dyDescent="0.2">
      <c r="A495" s="43" t="s">
        <v>1268</v>
      </c>
    </row>
    <row r="496" spans="1:8" x14ac:dyDescent="0.2">
      <c r="A496" s="43" t="s">
        <v>1269</v>
      </c>
    </row>
    <row r="497" spans="1:9" x14ac:dyDescent="0.2">
      <c r="A497" s="44"/>
    </row>
    <row r="498" spans="1:9" x14ac:dyDescent="0.2">
      <c r="A498" s="44" t="s">
        <v>1261</v>
      </c>
      <c r="B498" s="44" t="s">
        <v>1270</v>
      </c>
      <c r="C498" s="44"/>
      <c r="D498" s="44"/>
      <c r="E498" s="44"/>
      <c r="F498" s="44"/>
      <c r="G498" s="44"/>
      <c r="H498" s="44"/>
    </row>
    <row r="499" spans="1:9" x14ac:dyDescent="0.2">
      <c r="A499" s="44"/>
      <c r="B499" s="44" t="s">
        <v>1271</v>
      </c>
      <c r="C499" s="44"/>
      <c r="D499" s="44"/>
      <c r="E499" s="44"/>
      <c r="F499" s="44"/>
      <c r="H499" s="44"/>
    </row>
    <row r="500" spans="1:9" x14ac:dyDescent="0.2">
      <c r="A500" s="44"/>
      <c r="B500" s="44" t="s">
        <v>1272</v>
      </c>
      <c r="H500" s="44" t="s">
        <v>1273</v>
      </c>
    </row>
    <row r="501" spans="1:9" x14ac:dyDescent="0.2">
      <c r="A501" s="44"/>
      <c r="B501" s="44" t="s">
        <v>1274</v>
      </c>
      <c r="H501" s="44"/>
    </row>
    <row r="502" spans="1:9" x14ac:dyDescent="0.2">
      <c r="A502" s="44"/>
      <c r="C502" s="49">
        <v>1</v>
      </c>
      <c r="D502" s="49"/>
      <c r="E502" s="49"/>
      <c r="F502" s="49"/>
      <c r="G502" s="49">
        <v>0</v>
      </c>
    </row>
    <row r="503" spans="1:9" x14ac:dyDescent="0.2">
      <c r="A503" s="44"/>
      <c r="B503" s="618" t="s">
        <v>1275</v>
      </c>
      <c r="C503" s="490">
        <f>-4000*1.005^12</f>
        <v>-4246.7112474579908</v>
      </c>
      <c r="D503" s="441"/>
      <c r="E503" s="288" t="s">
        <v>2672</v>
      </c>
      <c r="F503" s="441"/>
      <c r="G503" s="293">
        <v>4000</v>
      </c>
      <c r="H503" s="43" t="s">
        <v>1207</v>
      </c>
    </row>
    <row r="504" spans="1:9" x14ac:dyDescent="0.2">
      <c r="A504" s="44"/>
      <c r="B504" s="441"/>
      <c r="C504" s="441"/>
      <c r="D504" s="441"/>
      <c r="E504" s="441"/>
      <c r="F504" s="441" t="s">
        <v>2670</v>
      </c>
      <c r="G504" s="293">
        <f>-2%*4000</f>
        <v>-80</v>
      </c>
      <c r="H504" s="43" t="s">
        <v>1276</v>
      </c>
      <c r="I504" s="43" t="s">
        <v>2671</v>
      </c>
    </row>
    <row r="505" spans="1:9" x14ac:dyDescent="0.2">
      <c r="A505" s="44"/>
      <c r="B505" s="441"/>
      <c r="C505" s="441"/>
      <c r="D505" s="441"/>
      <c r="E505" s="441"/>
      <c r="F505" s="441"/>
      <c r="G505" s="489">
        <f>G503+G504</f>
        <v>3920</v>
      </c>
      <c r="H505" s="43" t="s">
        <v>1277</v>
      </c>
      <c r="I505" s="43" t="s">
        <v>2656</v>
      </c>
    </row>
    <row r="506" spans="1:9" x14ac:dyDescent="0.2">
      <c r="A506" s="44"/>
    </row>
    <row r="507" spans="1:9" x14ac:dyDescent="0.2">
      <c r="A507" s="43" t="s">
        <v>1278</v>
      </c>
    </row>
    <row r="508" spans="1:9" x14ac:dyDescent="0.2">
      <c r="A508" s="44"/>
      <c r="F508" s="43" t="s">
        <v>1144</v>
      </c>
    </row>
    <row r="509" spans="1:9" x14ac:dyDescent="0.2">
      <c r="A509" s="44"/>
    </row>
    <row r="510" spans="1:9" x14ac:dyDescent="0.2">
      <c r="A510" s="43" t="s">
        <v>1279</v>
      </c>
    </row>
    <row r="511" spans="1:9" x14ac:dyDescent="0.2">
      <c r="A511" s="43" t="s">
        <v>1280</v>
      </c>
    </row>
    <row r="512" spans="1:9" x14ac:dyDescent="0.2">
      <c r="A512" s="43" t="s">
        <v>1281</v>
      </c>
    </row>
    <row r="513" spans="1:8" x14ac:dyDescent="0.2">
      <c r="A513" s="44"/>
    </row>
    <row r="514" spans="1:8" x14ac:dyDescent="0.2">
      <c r="A514" s="43" t="s">
        <v>1282</v>
      </c>
    </row>
    <row r="515" spans="1:8" x14ac:dyDescent="0.2">
      <c r="A515" s="43" t="s">
        <v>1283</v>
      </c>
    </row>
    <row r="516" spans="1:8" ht="16" thickBot="1" x14ac:dyDescent="0.25">
      <c r="A516" s="44"/>
      <c r="G516" s="43" t="s">
        <v>2673</v>
      </c>
    </row>
    <row r="517" spans="1:8" ht="16" thickBot="1" x14ac:dyDescent="0.25">
      <c r="A517" s="44" t="s">
        <v>2674</v>
      </c>
      <c r="E517" s="153">
        <f>-C503/G505-1</f>
        <v>8.3344705984181422E-2</v>
      </c>
      <c r="G517" s="43" t="s">
        <v>1284</v>
      </c>
    </row>
    <row r="518" spans="1:8" x14ac:dyDescent="0.2">
      <c r="A518" s="44"/>
    </row>
    <row r="519" spans="1:8" x14ac:dyDescent="0.2">
      <c r="A519" s="43" t="s">
        <v>1285</v>
      </c>
    </row>
    <row r="520" spans="1:8" x14ac:dyDescent="0.2">
      <c r="A520" s="43" t="s">
        <v>1286</v>
      </c>
    </row>
    <row r="521" spans="1:8" x14ac:dyDescent="0.2">
      <c r="A521" s="43" t="s">
        <v>1287</v>
      </c>
    </row>
    <row r="522" spans="1:8" x14ac:dyDescent="0.2">
      <c r="C522" s="47">
        <v>1</v>
      </c>
      <c r="F522" s="47">
        <v>0</v>
      </c>
    </row>
    <row r="524" spans="1:8" x14ac:dyDescent="0.2">
      <c r="B524" s="43" t="s">
        <v>2676</v>
      </c>
      <c r="C524" s="47">
        <f>F524*1.09</f>
        <v>4360</v>
      </c>
      <c r="D524" s="47" t="s">
        <v>2677</v>
      </c>
      <c r="F524" s="48">
        <v>4000</v>
      </c>
      <c r="G524" s="43" t="s">
        <v>2656</v>
      </c>
      <c r="H524" s="43" t="s">
        <v>2675</v>
      </c>
    </row>
    <row r="526" spans="1:8" x14ac:dyDescent="0.2">
      <c r="A526" s="43" t="s">
        <v>2679</v>
      </c>
    </row>
    <row r="527" spans="1:8" x14ac:dyDescent="0.2">
      <c r="A527" s="43" t="s">
        <v>2680</v>
      </c>
    </row>
    <row r="528" spans="1:8" x14ac:dyDescent="0.2">
      <c r="G528" s="43" t="s">
        <v>2673</v>
      </c>
    </row>
    <row r="529" spans="1:8" x14ac:dyDescent="0.2">
      <c r="A529" s="43" t="s">
        <v>2681</v>
      </c>
      <c r="G529" s="43" t="s">
        <v>2678</v>
      </c>
    </row>
    <row r="530" spans="1:8" ht="16" thickBot="1" x14ac:dyDescent="0.25"/>
    <row r="531" spans="1:8" ht="16" thickBot="1" x14ac:dyDescent="0.25">
      <c r="A531" s="43" t="s">
        <v>2682</v>
      </c>
      <c r="E531" s="154">
        <v>0.09</v>
      </c>
      <c r="F531" s="43" t="s">
        <v>2683</v>
      </c>
    </row>
    <row r="533" spans="1:8" x14ac:dyDescent="0.2">
      <c r="A533" s="43" t="s">
        <v>1288</v>
      </c>
    </row>
    <row r="535" spans="1:8" x14ac:dyDescent="0.2">
      <c r="A535" s="148" t="s">
        <v>2604</v>
      </c>
      <c r="B535" s="148" t="s">
        <v>2684</v>
      </c>
      <c r="C535" s="148"/>
      <c r="D535" s="148"/>
      <c r="E535" s="148"/>
      <c r="F535" s="148"/>
      <c r="G535" s="148"/>
      <c r="H535" s="148"/>
    </row>
    <row r="536" spans="1:8" x14ac:dyDescent="0.2">
      <c r="A536" s="43" t="s">
        <v>1289</v>
      </c>
    </row>
    <row r="537" spans="1:8" x14ac:dyDescent="0.2">
      <c r="A537" s="43" t="s">
        <v>1290</v>
      </c>
    </row>
    <row r="538" spans="1:8" x14ac:dyDescent="0.2">
      <c r="A538" s="43" t="s">
        <v>1291</v>
      </c>
    </row>
    <row r="540" spans="1:8" x14ac:dyDescent="0.2">
      <c r="A540" s="43" t="s">
        <v>2686</v>
      </c>
    </row>
    <row r="542" spans="1:8" x14ac:dyDescent="0.2">
      <c r="A542" s="148" t="s">
        <v>2604</v>
      </c>
      <c r="B542" s="148" t="s">
        <v>1267</v>
      </c>
      <c r="C542" s="148"/>
      <c r="D542" s="148"/>
      <c r="E542" s="148"/>
      <c r="F542" s="148"/>
      <c r="G542" s="148"/>
      <c r="H542" s="148"/>
    </row>
    <row r="543" spans="1:8" x14ac:dyDescent="0.2">
      <c r="A543" s="43" t="s">
        <v>1292</v>
      </c>
    </row>
    <row r="544" spans="1:8" x14ac:dyDescent="0.2">
      <c r="A544" s="79" t="s">
        <v>1293</v>
      </c>
      <c r="B544" s="79"/>
      <c r="C544" s="79"/>
    </row>
    <row r="545" spans="1:8" x14ac:dyDescent="0.2">
      <c r="A545" s="43" t="s">
        <v>1294</v>
      </c>
    </row>
    <row r="546" spans="1:8" x14ac:dyDescent="0.2">
      <c r="A546" s="43" t="s">
        <v>1295</v>
      </c>
    </row>
    <row r="547" spans="1:8" x14ac:dyDescent="0.2">
      <c r="A547" s="43" t="s">
        <v>1296</v>
      </c>
    </row>
    <row r="548" spans="1:8" x14ac:dyDescent="0.2">
      <c r="A548" s="43" t="s">
        <v>1297</v>
      </c>
    </row>
    <row r="549" spans="1:8" ht="16" thickBot="1" x14ac:dyDescent="0.25"/>
    <row r="550" spans="1:8" x14ac:dyDescent="0.2">
      <c r="A550" s="321" t="s">
        <v>2685</v>
      </c>
      <c r="B550" s="212"/>
      <c r="C550" s="212"/>
      <c r="D550" s="212"/>
      <c r="E550" s="212"/>
      <c r="F550" s="212"/>
      <c r="G550" s="212"/>
      <c r="H550" s="213"/>
    </row>
    <row r="551" spans="1:8" x14ac:dyDescent="0.2">
      <c r="A551" s="239" t="s">
        <v>1298</v>
      </c>
      <c r="B551" s="79"/>
      <c r="C551" s="79"/>
      <c r="D551" s="79"/>
      <c r="E551" s="79"/>
      <c r="F551" s="79"/>
      <c r="G551" s="79"/>
      <c r="H551" s="240"/>
    </row>
    <row r="552" spans="1:8" ht="16" thickBot="1" x14ac:dyDescent="0.25">
      <c r="A552" s="241" t="s">
        <v>1299</v>
      </c>
      <c r="B552" s="242"/>
      <c r="C552" s="242"/>
      <c r="D552" s="242"/>
      <c r="E552" s="242"/>
      <c r="F552" s="242"/>
      <c r="G552" s="242"/>
      <c r="H552" s="243"/>
    </row>
    <row r="554" spans="1:8" x14ac:dyDescent="0.2">
      <c r="A554" s="43" t="s">
        <v>1300</v>
      </c>
      <c r="C554" s="491">
        <f>RATE(C555,C557,C556,C558)</f>
        <v>2.5259796934031997E-3</v>
      </c>
      <c r="D554" s="43" t="s">
        <v>87</v>
      </c>
      <c r="F554" s="191" t="s">
        <v>1301</v>
      </c>
      <c r="G554" s="192"/>
      <c r="H554" s="193"/>
    </row>
    <row r="555" spans="1:8" x14ac:dyDescent="0.2">
      <c r="A555" s="43" t="s">
        <v>1302</v>
      </c>
      <c r="C555" s="29">
        <v>40</v>
      </c>
      <c r="D555" s="43" t="s">
        <v>89</v>
      </c>
      <c r="F555" s="194" t="s">
        <v>1303</v>
      </c>
      <c r="H555" s="195"/>
    </row>
    <row r="556" spans="1:8" x14ac:dyDescent="0.2">
      <c r="A556" s="43" t="s">
        <v>1304</v>
      </c>
      <c r="C556" s="293">
        <v>3800</v>
      </c>
      <c r="D556" s="43" t="s">
        <v>281</v>
      </c>
      <c r="F556" s="194" t="s">
        <v>1305</v>
      </c>
      <c r="H556" s="195"/>
    </row>
    <row r="557" spans="1:8" x14ac:dyDescent="0.2">
      <c r="A557" s="43" t="s">
        <v>1306</v>
      </c>
      <c r="C557" s="29">
        <v>-100</v>
      </c>
      <c r="D557" s="43" t="s">
        <v>91</v>
      </c>
      <c r="F557" s="196" t="s">
        <v>1307</v>
      </c>
      <c r="G557" s="59"/>
      <c r="H557" s="197"/>
    </row>
    <row r="558" spans="1:8" x14ac:dyDescent="0.2">
      <c r="A558" s="43" t="s">
        <v>1308</v>
      </c>
      <c r="C558" s="29">
        <v>0</v>
      </c>
      <c r="D558" s="43" t="s">
        <v>105</v>
      </c>
    </row>
    <row r="559" spans="1:8" x14ac:dyDescent="0.2">
      <c r="C559" s="29">
        <v>0</v>
      </c>
      <c r="D559" s="43" t="s">
        <v>328</v>
      </c>
    </row>
    <row r="561" spans="1:8" x14ac:dyDescent="0.2">
      <c r="A561" s="47" t="s">
        <v>1189</v>
      </c>
      <c r="B561" s="43" t="s">
        <v>1309</v>
      </c>
    </row>
    <row r="562" spans="1:8" x14ac:dyDescent="0.2">
      <c r="B562" s="43" t="s">
        <v>1310</v>
      </c>
    </row>
    <row r="563" spans="1:8" x14ac:dyDescent="0.2">
      <c r="B563" s="43" t="s">
        <v>1311</v>
      </c>
    </row>
    <row r="565" spans="1:8" ht="16" thickBot="1" x14ac:dyDescent="0.25">
      <c r="A565" s="43" t="s">
        <v>1312</v>
      </c>
    </row>
    <row r="566" spans="1:8" ht="16" thickBot="1" x14ac:dyDescent="0.25">
      <c r="B566" s="157">
        <f>(1+C554)^12-1</f>
        <v>3.0736440183734448E-2</v>
      </c>
      <c r="D566" s="43" t="s">
        <v>1313</v>
      </c>
      <c r="F566" s="43" t="s">
        <v>2687</v>
      </c>
      <c r="G566" s="43" t="s">
        <v>1314</v>
      </c>
    </row>
    <row r="568" spans="1:8" x14ac:dyDescent="0.2">
      <c r="A568" s="79" t="s">
        <v>1315</v>
      </c>
      <c r="B568" s="79"/>
      <c r="C568" s="79"/>
      <c r="D568" s="79"/>
      <c r="E568" s="79"/>
      <c r="F568" s="79"/>
      <c r="G568" s="79"/>
      <c r="H568" s="79"/>
    </row>
    <row r="569" spans="1:8" x14ac:dyDescent="0.2">
      <c r="A569" s="79" t="s">
        <v>1316</v>
      </c>
      <c r="B569" s="79"/>
      <c r="C569" s="79"/>
      <c r="D569" s="79"/>
      <c r="E569" s="79"/>
      <c r="F569" s="79"/>
      <c r="G569" s="79"/>
      <c r="H569" s="79"/>
    </row>
    <row r="570" spans="1:8" x14ac:dyDescent="0.2">
      <c r="A570" s="79" t="s">
        <v>1317</v>
      </c>
      <c r="B570" s="79"/>
      <c r="C570" s="79"/>
      <c r="D570" s="79"/>
      <c r="E570" s="79"/>
      <c r="F570" s="79"/>
      <c r="G570" s="79"/>
      <c r="H570" s="79"/>
    </row>
    <row r="572" spans="1:8" x14ac:dyDescent="0.2">
      <c r="A572" s="158" t="s">
        <v>2605</v>
      </c>
      <c r="B572" s="158"/>
      <c r="C572" s="158"/>
      <c r="D572" s="158"/>
      <c r="E572" s="158" t="s">
        <v>780</v>
      </c>
      <c r="F572" s="158"/>
      <c r="G572" s="158"/>
      <c r="H572" s="158"/>
    </row>
    <row r="573" spans="1:8" x14ac:dyDescent="0.2">
      <c r="A573" s="43" t="s">
        <v>1318</v>
      </c>
    </row>
    <row r="574" spans="1:8" x14ac:dyDescent="0.2">
      <c r="A574" s="43" t="s">
        <v>1319</v>
      </c>
    </row>
    <row r="575" spans="1:8" x14ac:dyDescent="0.2">
      <c r="A575" s="43" t="s">
        <v>1320</v>
      </c>
    </row>
    <row r="577" spans="1:8" x14ac:dyDescent="0.2">
      <c r="A577" s="158" t="s">
        <v>2605</v>
      </c>
      <c r="B577" s="158" t="s">
        <v>1267</v>
      </c>
      <c r="C577" s="158"/>
      <c r="D577" s="158"/>
      <c r="E577" s="158" t="s">
        <v>780</v>
      </c>
      <c r="F577" s="158"/>
      <c r="G577" s="158"/>
      <c r="H577" s="158"/>
    </row>
    <row r="578" spans="1:8" x14ac:dyDescent="0.2">
      <c r="A578" s="43" t="s">
        <v>1321</v>
      </c>
      <c r="E578" s="43" t="s">
        <v>1300</v>
      </c>
      <c r="G578" s="155">
        <f>RATE(G579,G581,G580,G582,G583)</f>
        <v>1.0416313913484443E-2</v>
      </c>
      <c r="H578" s="43" t="s">
        <v>87</v>
      </c>
    </row>
    <row r="579" spans="1:8" x14ac:dyDescent="0.2">
      <c r="E579" s="43" t="s">
        <v>1322</v>
      </c>
      <c r="G579" s="47">
        <v>36</v>
      </c>
      <c r="H579" s="43" t="s">
        <v>89</v>
      </c>
    </row>
    <row r="580" spans="1:8" x14ac:dyDescent="0.2">
      <c r="E580" s="43" t="s">
        <v>1323</v>
      </c>
      <c r="G580" s="48">
        <v>5829</v>
      </c>
      <c r="H580" s="43" t="s">
        <v>281</v>
      </c>
    </row>
    <row r="581" spans="1:8" x14ac:dyDescent="0.2">
      <c r="E581" s="43" t="s">
        <v>1306</v>
      </c>
      <c r="G581" s="47">
        <v>-195</v>
      </c>
      <c r="H581" s="43" t="s">
        <v>91</v>
      </c>
    </row>
    <row r="582" spans="1:8" x14ac:dyDescent="0.2">
      <c r="E582" s="43" t="s">
        <v>1308</v>
      </c>
      <c r="G582" s="47">
        <v>0</v>
      </c>
      <c r="H582" s="43" t="s">
        <v>105</v>
      </c>
    </row>
    <row r="583" spans="1:8" x14ac:dyDescent="0.2">
      <c r="G583" s="47">
        <v>0</v>
      </c>
      <c r="H583" s="43" t="s">
        <v>328</v>
      </c>
    </row>
    <row r="584" spans="1:8" ht="16" thickBot="1" x14ac:dyDescent="0.25">
      <c r="G584" s="47"/>
    </row>
    <row r="585" spans="1:8" ht="16" thickBot="1" x14ac:dyDescent="0.25">
      <c r="A585" s="43" t="s">
        <v>1324</v>
      </c>
      <c r="D585" s="159">
        <f>(1+G578)^12-1</f>
        <v>0.13241130228216647</v>
      </c>
      <c r="F585" s="43" t="s">
        <v>1325</v>
      </c>
      <c r="G585" s="47"/>
    </row>
    <row r="586" spans="1:8" x14ac:dyDescent="0.2">
      <c r="G586" s="47"/>
    </row>
    <row r="587" spans="1:8" x14ac:dyDescent="0.2">
      <c r="A587" s="148" t="s">
        <v>2606</v>
      </c>
      <c r="B587" s="148" t="s">
        <v>1326</v>
      </c>
      <c r="C587" s="148"/>
      <c r="D587" s="148"/>
      <c r="E587" s="148"/>
      <c r="F587" s="148"/>
      <c r="G587" s="148" t="s">
        <v>780</v>
      </c>
      <c r="H587" s="148"/>
    </row>
    <row r="588" spans="1:8" x14ac:dyDescent="0.2">
      <c r="A588" s="43" t="s">
        <v>1327</v>
      </c>
    </row>
    <row r="589" spans="1:8" x14ac:dyDescent="0.2">
      <c r="A589" s="43" t="s">
        <v>1328</v>
      </c>
    </row>
    <row r="590" spans="1:8" x14ac:dyDescent="0.2">
      <c r="A590" s="43" t="s">
        <v>1329</v>
      </c>
    </row>
    <row r="591" spans="1:8" x14ac:dyDescent="0.2">
      <c r="A591" s="43" t="s">
        <v>1330</v>
      </c>
    </row>
    <row r="593" spans="1:8" x14ac:dyDescent="0.2">
      <c r="A593" s="43" t="s">
        <v>1331</v>
      </c>
      <c r="B593" s="43" t="s">
        <v>1332</v>
      </c>
    </row>
    <row r="594" spans="1:8" x14ac:dyDescent="0.2">
      <c r="A594" s="43" t="s">
        <v>1333</v>
      </c>
      <c r="B594" s="43" t="s">
        <v>1334</v>
      </c>
    </row>
    <row r="595" spans="1:8" x14ac:dyDescent="0.2">
      <c r="A595" s="43" t="s">
        <v>1335</v>
      </c>
      <c r="B595" s="43" t="s">
        <v>1336</v>
      </c>
    </row>
    <row r="596" spans="1:8" x14ac:dyDescent="0.2">
      <c r="A596" s="43" t="s">
        <v>1337</v>
      </c>
      <c r="B596" s="43" t="s">
        <v>1338</v>
      </c>
    </row>
    <row r="597" spans="1:8" x14ac:dyDescent="0.2">
      <c r="A597" s="43" t="s">
        <v>1339</v>
      </c>
      <c r="B597" s="43" t="s">
        <v>1340</v>
      </c>
    </row>
    <row r="598" spans="1:8" x14ac:dyDescent="0.2">
      <c r="A598" s="43" t="s">
        <v>1341</v>
      </c>
      <c r="B598" s="43" t="s">
        <v>1342</v>
      </c>
    </row>
    <row r="600" spans="1:8" x14ac:dyDescent="0.2">
      <c r="A600" s="43" t="s">
        <v>1343</v>
      </c>
    </row>
    <row r="602" spans="1:8" x14ac:dyDescent="0.2">
      <c r="A602" s="148" t="s">
        <v>2606</v>
      </c>
      <c r="B602" s="148" t="s">
        <v>1267</v>
      </c>
      <c r="C602" s="148"/>
      <c r="D602" s="148"/>
      <c r="E602" s="148"/>
      <c r="F602" s="148" t="s">
        <v>780</v>
      </c>
      <c r="G602" s="148"/>
      <c r="H602" s="148"/>
    </row>
    <row r="603" spans="1:8" x14ac:dyDescent="0.2">
      <c r="A603" s="43" t="s">
        <v>1344</v>
      </c>
    </row>
    <row r="604" spans="1:8" x14ac:dyDescent="0.2">
      <c r="A604" s="43" t="s">
        <v>1345</v>
      </c>
    </row>
    <row r="606" spans="1:8" x14ac:dyDescent="0.2">
      <c r="A606" s="43" t="s">
        <v>1346</v>
      </c>
    </row>
    <row r="608" spans="1:8" ht="16" thickBot="1" x14ac:dyDescent="0.25">
      <c r="A608" s="43" t="s">
        <v>1331</v>
      </c>
      <c r="B608" s="43" t="s">
        <v>1332</v>
      </c>
    </row>
    <row r="609" spans="1:8" ht="16" thickBot="1" x14ac:dyDescent="0.25">
      <c r="B609" s="43" t="s">
        <v>1347</v>
      </c>
      <c r="H609" s="160">
        <v>7.0000000000000007E-2</v>
      </c>
    </row>
    <row r="611" spans="1:8" x14ac:dyDescent="0.2">
      <c r="A611" s="43" t="s">
        <v>1333</v>
      </c>
      <c r="B611" s="43" t="s">
        <v>1348</v>
      </c>
    </row>
    <row r="612" spans="1:8" x14ac:dyDescent="0.2">
      <c r="B612" s="43" t="s">
        <v>1349</v>
      </c>
    </row>
    <row r="613" spans="1:8" ht="16" thickBot="1" x14ac:dyDescent="0.25">
      <c r="B613" s="43" t="s">
        <v>1350</v>
      </c>
    </row>
    <row r="614" spans="1:8" ht="16" thickBot="1" x14ac:dyDescent="0.25">
      <c r="G614" s="43" t="s">
        <v>1351</v>
      </c>
      <c r="H614" s="159">
        <f>1.034^2-1</f>
        <v>6.9155999999999995E-2</v>
      </c>
    </row>
    <row r="616" spans="1:8" ht="16" thickBot="1" x14ac:dyDescent="0.25">
      <c r="A616" s="43" t="s">
        <v>1335</v>
      </c>
      <c r="B616" s="43" t="s">
        <v>1336</v>
      </c>
    </row>
    <row r="617" spans="1:8" ht="16" thickBot="1" x14ac:dyDescent="0.25">
      <c r="G617" s="43" t="s">
        <v>1352</v>
      </c>
      <c r="H617" s="159">
        <f>(1+6.8%/12)^12-1</f>
        <v>7.015988024972164E-2</v>
      </c>
    </row>
    <row r="619" spans="1:8" x14ac:dyDescent="0.2">
      <c r="A619" s="43" t="s">
        <v>1337</v>
      </c>
      <c r="B619" s="43" t="s">
        <v>1338</v>
      </c>
    </row>
    <row r="620" spans="1:8" x14ac:dyDescent="0.2">
      <c r="B620" s="43" t="s">
        <v>1353</v>
      </c>
    </row>
    <row r="621" spans="1:8" ht="16" thickBot="1" x14ac:dyDescent="0.25">
      <c r="B621" s="43" t="s">
        <v>1354</v>
      </c>
    </row>
    <row r="622" spans="1:8" ht="16" thickBot="1" x14ac:dyDescent="0.25">
      <c r="G622" s="43" t="s">
        <v>1355</v>
      </c>
      <c r="H622" s="159">
        <f>1.02^4-1</f>
        <v>8.2432159999999977E-2</v>
      </c>
    </row>
    <row r="624" spans="1:8" ht="16" thickBot="1" x14ac:dyDescent="0.25">
      <c r="A624" s="43" t="s">
        <v>1339</v>
      </c>
      <c r="B624" s="43" t="s">
        <v>1340</v>
      </c>
    </row>
    <row r="625" spans="1:8" ht="16" thickBot="1" x14ac:dyDescent="0.25">
      <c r="G625" s="43" t="s">
        <v>1356</v>
      </c>
      <c r="H625" s="159">
        <f>(1+6.5%/4)^4-1</f>
        <v>6.6601608791504452E-2</v>
      </c>
    </row>
    <row r="627" spans="1:8" ht="16" thickBot="1" x14ac:dyDescent="0.25">
      <c r="A627" s="43" t="s">
        <v>1341</v>
      </c>
      <c r="B627" s="43" t="s">
        <v>1342</v>
      </c>
    </row>
    <row r="628" spans="1:8" ht="16" thickBot="1" x14ac:dyDescent="0.25">
      <c r="G628" s="43" t="s">
        <v>1357</v>
      </c>
      <c r="H628" s="159">
        <f>(1+6%/365)^365-1</f>
        <v>6.1831310677866957E-2</v>
      </c>
    </row>
    <row r="630" spans="1:8" x14ac:dyDescent="0.2">
      <c r="A630" s="44" t="s">
        <v>1358</v>
      </c>
    </row>
    <row r="632" spans="1:8" x14ac:dyDescent="0.2">
      <c r="A632" s="158" t="s">
        <v>2688</v>
      </c>
      <c r="B632" s="158"/>
      <c r="C632" s="158"/>
      <c r="D632" s="158"/>
      <c r="E632" s="158"/>
      <c r="F632" s="158"/>
      <c r="G632" s="158"/>
      <c r="H632" s="158"/>
    </row>
    <row r="633" spans="1:8" x14ac:dyDescent="0.2">
      <c r="A633" s="43" t="s">
        <v>2689</v>
      </c>
    </row>
    <row r="634" spans="1:8" x14ac:dyDescent="0.2">
      <c r="A634" s="43" t="s">
        <v>2690</v>
      </c>
    </row>
    <row r="635" spans="1:8" x14ac:dyDescent="0.2">
      <c r="A635" s="43" t="s">
        <v>2691</v>
      </c>
    </row>
    <row r="636" spans="1:8" x14ac:dyDescent="0.2">
      <c r="A636" s="43" t="s">
        <v>2692</v>
      </c>
    </row>
    <row r="637" spans="1:8" x14ac:dyDescent="0.2">
      <c r="A637" s="43" t="s">
        <v>2693</v>
      </c>
    </row>
    <row r="638" spans="1:8" x14ac:dyDescent="0.2">
      <c r="A638" s="43" t="s">
        <v>2694</v>
      </c>
    </row>
    <row r="640" spans="1:8" x14ac:dyDescent="0.2">
      <c r="C640" s="47">
        <v>1</v>
      </c>
      <c r="G640" s="47">
        <v>0</v>
      </c>
    </row>
    <row r="642" spans="1:10" x14ac:dyDescent="0.2">
      <c r="A642" s="43" t="s">
        <v>2701</v>
      </c>
      <c r="C642" s="48">
        <f>-250000*(1+12%/12)^12</f>
        <v>-281706.25753299246</v>
      </c>
      <c r="E642" s="43" t="s">
        <v>2699</v>
      </c>
      <c r="G642" s="48">
        <v>250000</v>
      </c>
      <c r="H642" s="47" t="s">
        <v>2695</v>
      </c>
    </row>
    <row r="643" spans="1:10" x14ac:dyDescent="0.2">
      <c r="A643" s="43" t="s">
        <v>2702</v>
      </c>
      <c r="C643" s="48">
        <f>-250000*4%</f>
        <v>-10000</v>
      </c>
      <c r="E643" s="43" t="s">
        <v>2700</v>
      </c>
      <c r="G643" s="47">
        <f>-3%*G642</f>
        <v>-7500</v>
      </c>
      <c r="H643" s="43" t="s">
        <v>2696</v>
      </c>
      <c r="J643" s="43" t="s">
        <v>2697</v>
      </c>
    </row>
    <row r="644" spans="1:10" x14ac:dyDescent="0.2">
      <c r="A644" s="43" t="s">
        <v>2703</v>
      </c>
      <c r="C644" s="48">
        <v>1000</v>
      </c>
      <c r="G644" s="150">
        <f>G642+G643</f>
        <v>242500</v>
      </c>
      <c r="H644" s="43" t="s">
        <v>2698</v>
      </c>
    </row>
    <row r="645" spans="1:10" x14ac:dyDescent="0.2">
      <c r="C645" s="150">
        <f>SUM(C642:C644)</f>
        <v>-290706.25753299246</v>
      </c>
    </row>
    <row r="647" spans="1:10" x14ac:dyDescent="0.2">
      <c r="A647" s="43" t="s">
        <v>2704</v>
      </c>
    </row>
    <row r="648" spans="1:10" x14ac:dyDescent="0.2">
      <c r="A648" s="43" t="s">
        <v>2705</v>
      </c>
    </row>
    <row r="649" spans="1:10" x14ac:dyDescent="0.2">
      <c r="G649" s="43" t="s">
        <v>1221</v>
      </c>
    </row>
    <row r="650" spans="1:10" x14ac:dyDescent="0.2">
      <c r="B650" s="44" t="s">
        <v>1704</v>
      </c>
      <c r="E650" s="619">
        <f>-C645/G644-1</f>
        <v>0.19878869085770079</v>
      </c>
      <c r="G650" s="43" t="s">
        <v>2706</v>
      </c>
    </row>
    <row r="655" spans="1:10" x14ac:dyDescent="0.2">
      <c r="A655" s="148" t="s">
        <v>2607</v>
      </c>
      <c r="B655" s="148" t="s">
        <v>1359</v>
      </c>
      <c r="C655" s="148"/>
      <c r="D655" s="148"/>
      <c r="E655" s="148"/>
      <c r="F655" s="148"/>
      <c r="G655" s="148" t="s">
        <v>780</v>
      </c>
      <c r="H655" s="148"/>
    </row>
    <row r="656" spans="1:10" x14ac:dyDescent="0.2">
      <c r="A656" s="43" t="s">
        <v>1360</v>
      </c>
    </row>
    <row r="657" spans="1:8" x14ac:dyDescent="0.2">
      <c r="A657" s="43" t="s">
        <v>1361</v>
      </c>
    </row>
    <row r="659" spans="1:8" x14ac:dyDescent="0.2">
      <c r="A659" s="43" t="s">
        <v>1362</v>
      </c>
      <c r="B659" s="43" t="s">
        <v>1363</v>
      </c>
    </row>
    <row r="660" spans="1:8" x14ac:dyDescent="0.2">
      <c r="A660" s="43" t="s">
        <v>1364</v>
      </c>
      <c r="B660" s="43" t="s">
        <v>1365</v>
      </c>
    </row>
    <row r="661" spans="1:8" x14ac:dyDescent="0.2">
      <c r="A661" s="43" t="s">
        <v>1335</v>
      </c>
      <c r="B661" s="43" t="s">
        <v>1366</v>
      </c>
    </row>
    <row r="662" spans="1:8" x14ac:dyDescent="0.2">
      <c r="A662" s="43" t="s">
        <v>1337</v>
      </c>
      <c r="B662" s="43" t="s">
        <v>1367</v>
      </c>
    </row>
    <row r="663" spans="1:8" x14ac:dyDescent="0.2">
      <c r="A663" s="43" t="s">
        <v>1339</v>
      </c>
      <c r="B663" s="43" t="s">
        <v>1368</v>
      </c>
    </row>
    <row r="665" spans="1:8" x14ac:dyDescent="0.2">
      <c r="A665" s="43" t="s">
        <v>1369</v>
      </c>
    </row>
    <row r="667" spans="1:8" x14ac:dyDescent="0.2">
      <c r="A667" s="148" t="s">
        <v>2607</v>
      </c>
      <c r="B667" s="148" t="s">
        <v>1267</v>
      </c>
      <c r="C667" s="148"/>
      <c r="D667" s="148"/>
      <c r="E667" s="148"/>
      <c r="F667" s="148"/>
      <c r="G667" s="148"/>
      <c r="H667" s="148"/>
    </row>
    <row r="668" spans="1:8" x14ac:dyDescent="0.2">
      <c r="A668" s="43" t="s">
        <v>611</v>
      </c>
      <c r="B668" s="77">
        <v>0.24</v>
      </c>
    </row>
    <row r="669" spans="1:8" x14ac:dyDescent="0.2">
      <c r="A669" s="43" t="s">
        <v>610</v>
      </c>
      <c r="B669" s="162">
        <f>(1+0.23/4)^4-1</f>
        <v>0.25060886878906308</v>
      </c>
      <c r="F669" s="43" t="s">
        <v>1370</v>
      </c>
    </row>
    <row r="670" spans="1:8" x14ac:dyDescent="0.2">
      <c r="A670" s="43" t="s">
        <v>1371</v>
      </c>
      <c r="B670" s="162">
        <f>940000/(940000-22%*940000)-1</f>
        <v>0.28205128205128216</v>
      </c>
      <c r="F670" s="43" t="s">
        <v>1372</v>
      </c>
    </row>
    <row r="671" spans="1:8" x14ac:dyDescent="0.2">
      <c r="A671" s="43" t="s">
        <v>1373</v>
      </c>
      <c r="B671" s="162">
        <f>(1+22%/12)^12-1</f>
        <v>0.24359657794448264</v>
      </c>
      <c r="F671" s="43" t="s">
        <v>1374</v>
      </c>
    </row>
    <row r="672" spans="1:8" x14ac:dyDescent="0.2">
      <c r="A672" s="43" t="s">
        <v>1375</v>
      </c>
      <c r="B672" s="156">
        <f>(940000-2%*940000)/(940000-25%*940000)-1</f>
        <v>0.30666666666666664</v>
      </c>
      <c r="F672" s="43" t="s">
        <v>1376</v>
      </c>
    </row>
    <row r="673" spans="1:8" x14ac:dyDescent="0.2">
      <c r="B673" s="156"/>
    </row>
    <row r="674" spans="1:8" x14ac:dyDescent="0.2">
      <c r="A674" s="44" t="s">
        <v>1377</v>
      </c>
      <c r="B674" s="156"/>
    </row>
    <row r="675" spans="1:8" x14ac:dyDescent="0.2">
      <c r="B675" s="156"/>
    </row>
    <row r="676" spans="1:8" x14ac:dyDescent="0.2">
      <c r="A676" s="43" t="s">
        <v>1378</v>
      </c>
      <c r="B676" s="156"/>
      <c r="D676" s="49">
        <v>1</v>
      </c>
      <c r="E676" s="59"/>
      <c r="F676" s="49">
        <v>0</v>
      </c>
    </row>
    <row r="677" spans="1:8" x14ac:dyDescent="0.2">
      <c r="B677" s="156"/>
      <c r="D677" s="48">
        <f>-F677</f>
        <v>-940000</v>
      </c>
      <c r="F677" s="48">
        <v>940000</v>
      </c>
      <c r="G677" s="43" t="s">
        <v>1379</v>
      </c>
    </row>
    <row r="678" spans="1:8" x14ac:dyDescent="0.2">
      <c r="B678" s="156"/>
      <c r="C678" s="43" t="s">
        <v>1380</v>
      </c>
      <c r="D678" s="48">
        <f>2%*D677*-1</f>
        <v>18800</v>
      </c>
      <c r="F678" s="48">
        <f>-25%*F677</f>
        <v>-235000</v>
      </c>
      <c r="G678" s="43" t="s">
        <v>1381</v>
      </c>
    </row>
    <row r="679" spans="1:8" x14ac:dyDescent="0.2">
      <c r="B679" s="156"/>
      <c r="D679" s="164">
        <f>D677+D678</f>
        <v>-921200</v>
      </c>
      <c r="F679" s="163">
        <f>F677+F678</f>
        <v>705000</v>
      </c>
      <c r="G679" s="43" t="s">
        <v>1382</v>
      </c>
    </row>
    <row r="680" spans="1:8" x14ac:dyDescent="0.2">
      <c r="B680" s="156"/>
    </row>
    <row r="681" spans="1:8" x14ac:dyDescent="0.2">
      <c r="B681" s="156"/>
      <c r="F681" s="43" t="s">
        <v>1383</v>
      </c>
    </row>
    <row r="682" spans="1:8" x14ac:dyDescent="0.2">
      <c r="B682" s="156"/>
    </row>
    <row r="683" spans="1:8" x14ac:dyDescent="0.2">
      <c r="B683" s="156"/>
    </row>
    <row r="685" spans="1:8" x14ac:dyDescent="0.2">
      <c r="A685" s="148" t="s">
        <v>2608</v>
      </c>
      <c r="B685" s="148" t="s">
        <v>1384</v>
      </c>
      <c r="C685" s="148"/>
      <c r="D685" s="148"/>
      <c r="E685" s="148"/>
      <c r="F685" s="148"/>
      <c r="G685" s="148" t="s">
        <v>780</v>
      </c>
      <c r="H685" s="148"/>
    </row>
    <row r="686" spans="1:8" x14ac:dyDescent="0.2">
      <c r="A686" s="43" t="s">
        <v>1385</v>
      </c>
    </row>
    <row r="687" spans="1:8" x14ac:dyDescent="0.2">
      <c r="A687" s="43" t="s">
        <v>1386</v>
      </c>
    </row>
    <row r="689" spans="1:8" x14ac:dyDescent="0.2">
      <c r="A689" s="43" t="s">
        <v>1331</v>
      </c>
      <c r="B689" s="43" t="s">
        <v>1387</v>
      </c>
    </row>
    <row r="690" spans="1:8" x14ac:dyDescent="0.2">
      <c r="A690" s="43" t="s">
        <v>1333</v>
      </c>
      <c r="B690" s="43" t="s">
        <v>1388</v>
      </c>
    </row>
    <row r="691" spans="1:8" x14ac:dyDescent="0.2">
      <c r="A691" s="43" t="s">
        <v>1335</v>
      </c>
      <c r="B691" s="43" t="s">
        <v>1389</v>
      </c>
    </row>
    <row r="692" spans="1:8" x14ac:dyDescent="0.2">
      <c r="A692" s="43" t="s">
        <v>1337</v>
      </c>
      <c r="B692" s="43" t="s">
        <v>1390</v>
      </c>
    </row>
    <row r="693" spans="1:8" x14ac:dyDescent="0.2">
      <c r="A693" s="43" t="s">
        <v>1339</v>
      </c>
      <c r="B693" s="43" t="s">
        <v>1391</v>
      </c>
    </row>
    <row r="695" spans="1:8" x14ac:dyDescent="0.2">
      <c r="A695" s="43" t="s">
        <v>1392</v>
      </c>
    </row>
    <row r="697" spans="1:8" x14ac:dyDescent="0.2">
      <c r="A697" s="148" t="s">
        <v>2608</v>
      </c>
      <c r="B697" s="148" t="s">
        <v>1267</v>
      </c>
      <c r="C697" s="148"/>
      <c r="D697" s="148"/>
      <c r="E697" s="148"/>
      <c r="F697" s="148"/>
      <c r="G697" s="148" t="s">
        <v>780</v>
      </c>
      <c r="H697" s="148"/>
    </row>
    <row r="699" spans="1:8" x14ac:dyDescent="0.2">
      <c r="A699" s="43" t="s">
        <v>1331</v>
      </c>
      <c r="C699" s="151">
        <f>(1+4%/12)^12-1</f>
        <v>4.0741542919790819E-2</v>
      </c>
      <c r="E699" s="43" t="s">
        <v>1393</v>
      </c>
    </row>
    <row r="700" spans="1:8" x14ac:dyDescent="0.2">
      <c r="A700" s="43" t="s">
        <v>1333</v>
      </c>
      <c r="C700" s="165">
        <v>4.3999999999999997E-2</v>
      </c>
    </row>
    <row r="701" spans="1:8" x14ac:dyDescent="0.2">
      <c r="A701" s="43" t="s">
        <v>1335</v>
      </c>
      <c r="C701" s="161">
        <f>1.02^2-1</f>
        <v>4.0399999999999991E-2</v>
      </c>
      <c r="E701" s="43" t="s">
        <v>1394</v>
      </c>
    </row>
    <row r="702" spans="1:8" x14ac:dyDescent="0.2">
      <c r="A702" s="43" t="s">
        <v>1337</v>
      </c>
      <c r="C702" s="161">
        <f>1.01^4-1</f>
        <v>4.0604010000000024E-2</v>
      </c>
      <c r="E702" s="43" t="s">
        <v>1395</v>
      </c>
    </row>
    <row r="703" spans="1:8" x14ac:dyDescent="0.2">
      <c r="A703" s="43" t="s">
        <v>1339</v>
      </c>
      <c r="C703" s="161">
        <f>(1+3.5%/360)^360-1</f>
        <v>3.5617946923420796E-2</v>
      </c>
      <c r="E703" s="43" t="s">
        <v>1396</v>
      </c>
    </row>
    <row r="705" spans="1:8" x14ac:dyDescent="0.2">
      <c r="A705" s="43" t="s">
        <v>1397</v>
      </c>
    </row>
    <row r="707" spans="1:8" x14ac:dyDescent="0.2">
      <c r="A707" s="148" t="s">
        <v>2609</v>
      </c>
      <c r="B707" s="148" t="s">
        <v>1399</v>
      </c>
      <c r="C707" s="148"/>
      <c r="D707" s="148"/>
      <c r="E707" s="148"/>
      <c r="F707" s="148"/>
      <c r="G707" s="148" t="s">
        <v>780</v>
      </c>
      <c r="H707" s="148"/>
    </row>
    <row r="708" spans="1:8" x14ac:dyDescent="0.2">
      <c r="A708" s="43" t="s">
        <v>1400</v>
      </c>
    </row>
    <row r="709" spans="1:8" x14ac:dyDescent="0.2">
      <c r="A709" s="43" t="s">
        <v>1401</v>
      </c>
    </row>
    <row r="710" spans="1:8" x14ac:dyDescent="0.2">
      <c r="A710" s="43" t="s">
        <v>1402</v>
      </c>
    </row>
    <row r="712" spans="1:8" x14ac:dyDescent="0.2">
      <c r="A712" s="43" t="s">
        <v>1403</v>
      </c>
    </row>
    <row r="714" spans="1:8" x14ac:dyDescent="0.2">
      <c r="A714" s="148" t="s">
        <v>2609</v>
      </c>
      <c r="B714" s="148" t="s">
        <v>1267</v>
      </c>
      <c r="C714" s="148"/>
      <c r="D714" s="148"/>
      <c r="E714" s="148"/>
      <c r="F714" s="148"/>
      <c r="G714" s="148" t="s">
        <v>780</v>
      </c>
      <c r="H714" s="148"/>
    </row>
    <row r="716" spans="1:8" x14ac:dyDescent="0.2">
      <c r="B716" s="152">
        <f>(15000*(1+3%/3)^6)/(15000*0.99)-1</f>
        <v>7.2242576364646593E-2</v>
      </c>
      <c r="E716" s="43" t="s">
        <v>1404</v>
      </c>
    </row>
    <row r="718" spans="1:8" x14ac:dyDescent="0.2">
      <c r="A718" s="43" t="s">
        <v>172</v>
      </c>
    </row>
    <row r="719" spans="1:8" x14ac:dyDescent="0.2">
      <c r="C719" s="49">
        <v>1</v>
      </c>
      <c r="D719" s="49"/>
      <c r="E719" s="49">
        <v>0</v>
      </c>
    </row>
    <row r="720" spans="1:8" x14ac:dyDescent="0.2">
      <c r="B720" s="43" t="s">
        <v>1405</v>
      </c>
      <c r="C720" s="48">
        <f>-15000*1.01^6</f>
        <v>-15922.802259015001</v>
      </c>
      <c r="D720" s="47"/>
      <c r="E720" s="48">
        <v>15000</v>
      </c>
      <c r="F720" s="43" t="s">
        <v>1213</v>
      </c>
    </row>
    <row r="721" spans="1:8" x14ac:dyDescent="0.2">
      <c r="C721" s="47"/>
      <c r="D721" s="47"/>
      <c r="E721" s="47">
        <f>-1%*E720</f>
        <v>-150</v>
      </c>
      <c r="F721" s="43" t="s">
        <v>1406</v>
      </c>
    </row>
    <row r="722" spans="1:8" x14ac:dyDescent="0.2">
      <c r="C722" s="48"/>
      <c r="D722" s="47"/>
      <c r="E722" s="48">
        <f>E720+E721</f>
        <v>14850</v>
      </c>
      <c r="F722" s="43" t="s">
        <v>1277</v>
      </c>
    </row>
    <row r="724" spans="1:8" x14ac:dyDescent="0.2">
      <c r="C724" s="72">
        <f>B716</f>
        <v>7.2242576364646593E-2</v>
      </c>
      <c r="E724" s="43" t="s">
        <v>1407</v>
      </c>
    </row>
    <row r="726" spans="1:8" x14ac:dyDescent="0.2">
      <c r="A726" s="43" t="s">
        <v>1408</v>
      </c>
    </row>
    <row r="727" spans="1:8" x14ac:dyDescent="0.2">
      <c r="A727" s="43" t="s">
        <v>1409</v>
      </c>
    </row>
    <row r="728" spans="1:8" x14ac:dyDescent="0.2">
      <c r="A728" s="43" t="s">
        <v>1410</v>
      </c>
    </row>
    <row r="729" spans="1:8" x14ac:dyDescent="0.2">
      <c r="A729" s="43" t="s">
        <v>1411</v>
      </c>
    </row>
    <row r="730" spans="1:8" x14ac:dyDescent="0.2">
      <c r="A730" s="43" t="s">
        <v>1412</v>
      </c>
    </row>
    <row r="731" spans="1:8" x14ac:dyDescent="0.2">
      <c r="A731" s="43" t="s">
        <v>1413</v>
      </c>
    </row>
    <row r="732" spans="1:8" ht="16" thickBot="1" x14ac:dyDescent="0.25"/>
    <row r="733" spans="1:8" x14ac:dyDescent="0.2">
      <c r="A733" s="211" t="s">
        <v>2707</v>
      </c>
      <c r="B733" s="212"/>
      <c r="C733" s="212"/>
      <c r="D733" s="212"/>
      <c r="E733" s="212"/>
      <c r="F733" s="212"/>
      <c r="G733" s="212"/>
      <c r="H733" s="213"/>
    </row>
    <row r="734" spans="1:8" x14ac:dyDescent="0.2">
      <c r="A734" s="320"/>
      <c r="H734" s="215"/>
    </row>
    <row r="735" spans="1:8" x14ac:dyDescent="0.2">
      <c r="A735" s="320" t="s">
        <v>2708</v>
      </c>
      <c r="H735" s="215"/>
    </row>
    <row r="736" spans="1:8" x14ac:dyDescent="0.2">
      <c r="A736" s="320" t="s">
        <v>2709</v>
      </c>
      <c r="H736" s="215"/>
    </row>
    <row r="737" spans="1:8" x14ac:dyDescent="0.2">
      <c r="A737" s="320" t="s">
        <v>2710</v>
      </c>
      <c r="F737" s="43" t="s">
        <v>1144</v>
      </c>
      <c r="H737" s="215"/>
    </row>
    <row r="738" spans="1:8" x14ac:dyDescent="0.2">
      <c r="A738" s="320"/>
      <c r="H738" s="215"/>
    </row>
    <row r="739" spans="1:8" x14ac:dyDescent="0.2">
      <c r="A739" s="320" t="s">
        <v>2711</v>
      </c>
      <c r="H739" s="215"/>
    </row>
    <row r="740" spans="1:8" x14ac:dyDescent="0.2">
      <c r="A740" s="320"/>
      <c r="F740" s="43" t="s">
        <v>2712</v>
      </c>
      <c r="H740" s="215"/>
    </row>
    <row r="741" spans="1:8" x14ac:dyDescent="0.2">
      <c r="A741" s="320"/>
      <c r="H741" s="215"/>
    </row>
    <row r="742" spans="1:8" x14ac:dyDescent="0.2">
      <c r="A742" s="320" t="s">
        <v>2713</v>
      </c>
      <c r="H742" s="215"/>
    </row>
    <row r="743" spans="1:8" x14ac:dyDescent="0.2">
      <c r="A743" s="320" t="s">
        <v>2714</v>
      </c>
      <c r="H743" s="215"/>
    </row>
    <row r="744" spans="1:8" x14ac:dyDescent="0.2">
      <c r="A744" s="320" t="s">
        <v>2715</v>
      </c>
      <c r="H744" s="215"/>
    </row>
    <row r="745" spans="1:8" x14ac:dyDescent="0.2">
      <c r="A745" s="320" t="s">
        <v>2716</v>
      </c>
      <c r="H745" s="215"/>
    </row>
    <row r="746" spans="1:8" x14ac:dyDescent="0.2">
      <c r="A746" s="320"/>
      <c r="F746" s="43" t="s">
        <v>2673</v>
      </c>
      <c r="H746" s="215"/>
    </row>
    <row r="747" spans="1:8" x14ac:dyDescent="0.2">
      <c r="A747" s="320"/>
      <c r="H747" s="215"/>
    </row>
    <row r="748" spans="1:8" x14ac:dyDescent="0.2">
      <c r="A748" s="320" t="s">
        <v>2717</v>
      </c>
      <c r="H748" s="215"/>
    </row>
    <row r="749" spans="1:8" x14ac:dyDescent="0.2">
      <c r="A749" s="320" t="s">
        <v>2718</v>
      </c>
      <c r="H749" s="215"/>
    </row>
    <row r="750" spans="1:8" x14ac:dyDescent="0.2">
      <c r="A750" s="320" t="s">
        <v>2719</v>
      </c>
      <c r="H750" s="215"/>
    </row>
    <row r="751" spans="1:8" ht="16" thickBot="1" x14ac:dyDescent="0.25">
      <c r="A751" s="234" t="s">
        <v>2720</v>
      </c>
      <c r="B751" s="217"/>
      <c r="C751" s="217"/>
      <c r="D751" s="217"/>
      <c r="E751" s="217"/>
      <c r="F751" s="217"/>
      <c r="G751" s="217"/>
      <c r="H751" s="218"/>
    </row>
  </sheetData>
  <mergeCells count="14">
    <mergeCell ref="A1:H1"/>
    <mergeCell ref="G476:G477"/>
    <mergeCell ref="E476:E477"/>
    <mergeCell ref="D476:D477"/>
    <mergeCell ref="B476:B477"/>
    <mergeCell ref="A476:A477"/>
    <mergeCell ref="H476:I477"/>
    <mergeCell ref="A346:A347"/>
    <mergeCell ref="B346:B347"/>
    <mergeCell ref="D346:D347"/>
    <mergeCell ref="E346:E347"/>
    <mergeCell ref="G346:G347"/>
    <mergeCell ref="C193:C194"/>
    <mergeCell ref="B221:E22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BE83D-0854-A149-98D7-39EEE94CDCBB}">
  <dimension ref="A1:K501"/>
  <sheetViews>
    <sheetView rightToLeft="1" zoomScale="190" zoomScaleNormal="190" workbookViewId="0">
      <selection activeCell="C7" sqref="C7"/>
    </sheetView>
  </sheetViews>
  <sheetFormatPr baseColWidth="10" defaultColWidth="10.83203125" defaultRowHeight="16" x14ac:dyDescent="0.2"/>
  <cols>
    <col min="1" max="2" width="10.83203125" style="92"/>
    <col min="3" max="3" width="11.1640625" style="92" bestFit="1" customWidth="1"/>
    <col min="4" max="4" width="11.6640625" style="92" bestFit="1" customWidth="1"/>
    <col min="5" max="5" width="10.83203125" style="92"/>
    <col min="6" max="6" width="11.1640625" style="92" bestFit="1" customWidth="1"/>
    <col min="7" max="7" width="12" style="92" customWidth="1"/>
    <col min="8" max="8" width="11.1640625" style="92" bestFit="1" customWidth="1"/>
    <col min="9" max="16384" width="10.83203125" style="92"/>
  </cols>
  <sheetData>
    <row r="1" spans="1:8" x14ac:dyDescent="0.2">
      <c r="A1" s="740" t="s">
        <v>3265</v>
      </c>
      <c r="B1" s="740"/>
      <c r="C1" s="740"/>
      <c r="D1" s="740"/>
      <c r="E1" s="740"/>
      <c r="F1" s="740"/>
      <c r="G1" s="740"/>
      <c r="H1" s="740"/>
    </row>
    <row r="3" spans="1:8" x14ac:dyDescent="0.2">
      <c r="A3" s="166" t="s">
        <v>1414</v>
      </c>
      <c r="B3" s="166"/>
      <c r="C3" s="166"/>
      <c r="D3" s="166"/>
      <c r="E3" s="166"/>
      <c r="F3" s="166"/>
      <c r="G3" s="166"/>
      <c r="H3" s="166"/>
    </row>
    <row r="4" spans="1:8" x14ac:dyDescent="0.2">
      <c r="A4" s="92" t="s">
        <v>1415</v>
      </c>
    </row>
    <row r="5" spans="1:8" x14ac:dyDescent="0.2">
      <c r="A5" s="92" t="s">
        <v>1416</v>
      </c>
    </row>
    <row r="6" spans="1:8" x14ac:dyDescent="0.2">
      <c r="A6" s="92" t="s">
        <v>1417</v>
      </c>
    </row>
    <row r="7" spans="1:8" x14ac:dyDescent="0.2">
      <c r="A7" s="92" t="s">
        <v>1418</v>
      </c>
    </row>
    <row r="8" spans="1:8" x14ac:dyDescent="0.2">
      <c r="A8" s="92" t="s">
        <v>1419</v>
      </c>
    </row>
    <row r="10" spans="1:8" x14ac:dyDescent="0.2">
      <c r="A10" s="166" t="s">
        <v>1420</v>
      </c>
      <c r="B10" s="166"/>
      <c r="C10" s="166"/>
      <c r="D10" s="166"/>
      <c r="E10" s="166"/>
      <c r="F10" s="166"/>
      <c r="G10" s="166"/>
      <c r="H10" s="166"/>
    </row>
    <row r="11" spans="1:8" x14ac:dyDescent="0.2">
      <c r="A11" s="92" t="s">
        <v>1421</v>
      </c>
    </row>
    <row r="12" spans="1:8" x14ac:dyDescent="0.2">
      <c r="A12" s="92" t="s">
        <v>1422</v>
      </c>
    </row>
    <row r="13" spans="1:8" x14ac:dyDescent="0.2">
      <c r="A13" s="92" t="s">
        <v>1423</v>
      </c>
    </row>
    <row r="14" spans="1:8" x14ac:dyDescent="0.2">
      <c r="A14" s="92" t="s">
        <v>1424</v>
      </c>
    </row>
    <row r="15" spans="1:8" x14ac:dyDescent="0.2">
      <c r="A15" s="92" t="s">
        <v>1425</v>
      </c>
    </row>
    <row r="17" spans="1:8" x14ac:dyDescent="0.2">
      <c r="A17" s="166" t="s">
        <v>1426</v>
      </c>
      <c r="B17" s="166"/>
      <c r="C17" s="166"/>
      <c r="D17" s="166"/>
      <c r="E17" s="166"/>
      <c r="F17" s="166"/>
      <c r="G17" s="166"/>
      <c r="H17" s="166"/>
    </row>
    <row r="18" spans="1:8" x14ac:dyDescent="0.2">
      <c r="A18" s="92" t="s">
        <v>1427</v>
      </c>
    </row>
    <row r="19" spans="1:8" x14ac:dyDescent="0.2">
      <c r="A19" s="92" t="s">
        <v>1428</v>
      </c>
    </row>
    <row r="20" spans="1:8" x14ac:dyDescent="0.2">
      <c r="A20" s="92" t="s">
        <v>1429</v>
      </c>
    </row>
    <row r="21" spans="1:8" x14ac:dyDescent="0.2">
      <c r="A21" s="92" t="s">
        <v>1430</v>
      </c>
    </row>
    <row r="22" spans="1:8" x14ac:dyDescent="0.2">
      <c r="A22" s="92" t="s">
        <v>1431</v>
      </c>
    </row>
    <row r="23" spans="1:8" x14ac:dyDescent="0.2">
      <c r="A23" s="92" t="s">
        <v>1432</v>
      </c>
    </row>
    <row r="24" spans="1:8" x14ac:dyDescent="0.2">
      <c r="A24" s="92" t="s">
        <v>1433</v>
      </c>
    </row>
    <row r="25" spans="1:8" x14ac:dyDescent="0.2">
      <c r="A25" s="92" t="s">
        <v>1434</v>
      </c>
    </row>
    <row r="26" spans="1:8" x14ac:dyDescent="0.2">
      <c r="A26" s="92" t="s">
        <v>1435</v>
      </c>
    </row>
    <row r="27" spans="1:8" x14ac:dyDescent="0.2">
      <c r="A27" s="92" t="s">
        <v>1436</v>
      </c>
    </row>
    <row r="28" spans="1:8" x14ac:dyDescent="0.2">
      <c r="A28" s="92" t="s">
        <v>1437</v>
      </c>
    </row>
    <row r="29" spans="1:8" x14ac:dyDescent="0.2">
      <c r="A29" s="92" t="s">
        <v>1438</v>
      </c>
    </row>
    <row r="30" spans="1:8" x14ac:dyDescent="0.2">
      <c r="A30" s="92" t="s">
        <v>1439</v>
      </c>
    </row>
    <row r="31" spans="1:8" x14ac:dyDescent="0.2">
      <c r="A31" s="92" t="s">
        <v>1440</v>
      </c>
    </row>
    <row r="32" spans="1:8" x14ac:dyDescent="0.2">
      <c r="A32" s="92" t="s">
        <v>1441</v>
      </c>
    </row>
    <row r="33" spans="1:8" x14ac:dyDescent="0.2">
      <c r="A33" s="92" t="s">
        <v>1442</v>
      </c>
    </row>
    <row r="34" spans="1:8" x14ac:dyDescent="0.2">
      <c r="A34" s="92" t="s">
        <v>1443</v>
      </c>
    </row>
    <row r="35" spans="1:8" x14ac:dyDescent="0.2">
      <c r="A35" s="92" t="s">
        <v>1444</v>
      </c>
    </row>
    <row r="36" spans="1:8" x14ac:dyDescent="0.2">
      <c r="A36" s="92" t="s">
        <v>1445</v>
      </c>
    </row>
    <row r="37" spans="1:8" x14ac:dyDescent="0.2">
      <c r="A37" s="92" t="s">
        <v>1446</v>
      </c>
    </row>
    <row r="38" spans="1:8" x14ac:dyDescent="0.2">
      <c r="A38" s="92" t="s">
        <v>1447</v>
      </c>
    </row>
    <row r="40" spans="1:8" x14ac:dyDescent="0.2">
      <c r="A40" s="620" t="s">
        <v>2721</v>
      </c>
      <c r="B40" s="621"/>
      <c r="C40" s="621"/>
      <c r="D40" s="621"/>
      <c r="E40" s="621"/>
      <c r="F40" s="621"/>
      <c r="G40" s="621"/>
      <c r="H40" s="621"/>
    </row>
    <row r="42" spans="1:8" x14ac:dyDescent="0.2">
      <c r="B42" s="169" t="s">
        <v>1448</v>
      </c>
      <c r="C42" s="169" t="s">
        <v>1449</v>
      </c>
      <c r="D42" s="169" t="s">
        <v>1450</v>
      </c>
      <c r="E42" s="169" t="s">
        <v>1451</v>
      </c>
      <c r="F42" s="169" t="s">
        <v>1452</v>
      </c>
      <c r="G42" s="169" t="s">
        <v>1453</v>
      </c>
    </row>
    <row r="43" spans="1:8" x14ac:dyDescent="0.2">
      <c r="B43" s="168"/>
      <c r="C43" s="168"/>
      <c r="D43" s="168"/>
      <c r="E43" s="168"/>
      <c r="F43" s="168"/>
      <c r="G43" s="168"/>
    </row>
    <row r="44" spans="1:8" x14ac:dyDescent="0.2">
      <c r="B44" s="168"/>
      <c r="C44" s="168"/>
      <c r="D44" s="168"/>
      <c r="E44" s="168"/>
      <c r="F44" s="168"/>
      <c r="G44" s="168"/>
    </row>
    <row r="45" spans="1:8" x14ac:dyDescent="0.2">
      <c r="B45" s="168"/>
      <c r="C45" s="168"/>
      <c r="D45" s="168"/>
      <c r="E45" s="168"/>
      <c r="F45" s="168"/>
      <c r="G45" s="168"/>
    </row>
    <row r="47" spans="1:8" x14ac:dyDescent="0.2">
      <c r="A47" s="167" t="s">
        <v>1454</v>
      </c>
      <c r="B47" s="167"/>
      <c r="C47" s="167"/>
      <c r="D47" s="167"/>
      <c r="E47" s="167"/>
      <c r="F47" s="167"/>
      <c r="G47" s="167"/>
      <c r="H47" s="167"/>
    </row>
    <row r="48" spans="1:8" x14ac:dyDescent="0.2">
      <c r="A48" s="92" t="s">
        <v>2722</v>
      </c>
    </row>
    <row r="49" spans="1:8" x14ac:dyDescent="0.2">
      <c r="A49" s="92" t="s">
        <v>2723</v>
      </c>
    </row>
    <row r="50" spans="1:8" x14ac:dyDescent="0.2">
      <c r="A50" s="92" t="s">
        <v>3266</v>
      </c>
    </row>
    <row r="52" spans="1:8" x14ac:dyDescent="0.2">
      <c r="A52" s="92" t="s">
        <v>111</v>
      </c>
    </row>
    <row r="53" spans="1:8" x14ac:dyDescent="0.2">
      <c r="A53" s="93" t="s">
        <v>2724</v>
      </c>
      <c r="B53" s="93"/>
      <c r="C53" s="93"/>
      <c r="D53" s="93"/>
      <c r="E53" s="93"/>
      <c r="F53" s="93"/>
      <c r="G53" s="93"/>
      <c r="H53" s="93"/>
    </row>
    <row r="54" spans="1:8" x14ac:dyDescent="0.2">
      <c r="A54" s="93"/>
      <c r="B54" s="93"/>
      <c r="C54" s="93"/>
      <c r="D54" s="93"/>
      <c r="E54" s="93"/>
      <c r="F54" s="93"/>
      <c r="G54" s="93"/>
      <c r="H54" s="93"/>
    </row>
    <row r="55" spans="1:8" x14ac:dyDescent="0.2">
      <c r="A55" s="111" t="s">
        <v>1455</v>
      </c>
      <c r="B55" s="111"/>
      <c r="C55" s="111"/>
      <c r="D55" s="111"/>
      <c r="E55" s="111"/>
      <c r="F55" s="111"/>
      <c r="G55" s="111"/>
      <c r="H55" s="111"/>
    </row>
    <row r="56" spans="1:8" x14ac:dyDescent="0.2">
      <c r="A56" s="92" t="s">
        <v>1456</v>
      </c>
    </row>
    <row r="57" spans="1:8" x14ac:dyDescent="0.2">
      <c r="A57" s="92" t="s">
        <v>1457</v>
      </c>
    </row>
    <row r="58" spans="1:8" x14ac:dyDescent="0.2">
      <c r="A58" s="92" t="s">
        <v>1458</v>
      </c>
    </row>
    <row r="59" spans="1:8" x14ac:dyDescent="0.2">
      <c r="A59" s="92" t="s">
        <v>1459</v>
      </c>
    </row>
    <row r="61" spans="1:8" x14ac:dyDescent="0.2">
      <c r="A61" s="93" t="s">
        <v>1460</v>
      </c>
    </row>
    <row r="62" spans="1:8" x14ac:dyDescent="0.2">
      <c r="A62" s="92" t="s">
        <v>1461</v>
      </c>
      <c r="D62" s="464">
        <v>4.0000000000000001E-3</v>
      </c>
      <c r="E62" s="92" t="s">
        <v>87</v>
      </c>
    </row>
    <row r="63" spans="1:8" x14ac:dyDescent="0.2">
      <c r="A63" s="92" t="s">
        <v>1462</v>
      </c>
      <c r="D63" s="460">
        <v>24</v>
      </c>
      <c r="E63" s="92" t="s">
        <v>89</v>
      </c>
    </row>
    <row r="64" spans="1:8" x14ac:dyDescent="0.2">
      <c r="A64" s="92" t="s">
        <v>1464</v>
      </c>
      <c r="D64" s="622">
        <f>PMT(D62,D63,D65,D66)</f>
        <v>-175.12750336261169</v>
      </c>
      <c r="E64" s="92" t="s">
        <v>91</v>
      </c>
    </row>
    <row r="65" spans="1:7" x14ac:dyDescent="0.2">
      <c r="A65" s="92" t="s">
        <v>1463</v>
      </c>
      <c r="D65" s="460">
        <v>4000</v>
      </c>
      <c r="E65" s="92" t="s">
        <v>281</v>
      </c>
    </row>
    <row r="66" spans="1:7" x14ac:dyDescent="0.2">
      <c r="A66" s="92" t="s">
        <v>1465</v>
      </c>
      <c r="D66" s="460">
        <v>0</v>
      </c>
      <c r="E66" s="92" t="s">
        <v>105</v>
      </c>
    </row>
    <row r="68" spans="1:7" x14ac:dyDescent="0.2">
      <c r="A68" s="93" t="s">
        <v>1466</v>
      </c>
    </row>
    <row r="69" spans="1:7" x14ac:dyDescent="0.2">
      <c r="A69" s="93"/>
    </row>
    <row r="70" spans="1:7" x14ac:dyDescent="0.2">
      <c r="D70" s="172" t="s">
        <v>1467</v>
      </c>
      <c r="E70" s="172" t="s">
        <v>1468</v>
      </c>
      <c r="F70" s="493" t="s">
        <v>1469</v>
      </c>
      <c r="G70" s="172" t="s">
        <v>1470</v>
      </c>
    </row>
    <row r="71" spans="1:7" x14ac:dyDescent="0.2">
      <c r="B71" s="169" t="s">
        <v>1448</v>
      </c>
      <c r="C71" s="169" t="s">
        <v>1449</v>
      </c>
      <c r="D71" s="169" t="s">
        <v>1450</v>
      </c>
      <c r="E71" s="169" t="s">
        <v>1451</v>
      </c>
      <c r="F71" s="494" t="s">
        <v>1452</v>
      </c>
      <c r="G71" s="169" t="s">
        <v>1453</v>
      </c>
    </row>
    <row r="72" spans="1:7" x14ac:dyDescent="0.2">
      <c r="B72" s="168">
        <v>0</v>
      </c>
      <c r="C72" s="170"/>
      <c r="D72" s="170"/>
      <c r="E72" s="170"/>
      <c r="F72" s="170"/>
      <c r="G72" s="171">
        <f>D65</f>
        <v>4000</v>
      </c>
    </row>
    <row r="73" spans="1:7" x14ac:dyDescent="0.2">
      <c r="B73" s="168">
        <f>B72+1</f>
        <v>1</v>
      </c>
      <c r="C73" s="171">
        <f>G72</f>
        <v>4000</v>
      </c>
      <c r="D73" s="173">
        <f>F73-E73</f>
        <v>159.12750336261169</v>
      </c>
      <c r="E73" s="173">
        <f>D$62*G72</f>
        <v>16</v>
      </c>
      <c r="F73" s="173">
        <f>-D64</f>
        <v>175.12750336261169</v>
      </c>
      <c r="G73" s="173">
        <f>C73-D73</f>
        <v>3840.8724966373884</v>
      </c>
    </row>
    <row r="74" spans="1:7" x14ac:dyDescent="0.2">
      <c r="B74" s="168">
        <f t="shared" ref="B74:B88" si="0">B73+1</f>
        <v>2</v>
      </c>
      <c r="C74" s="171">
        <f t="shared" ref="C74:C96" si="1">G73</f>
        <v>3840.8724966373884</v>
      </c>
      <c r="D74" s="173">
        <f t="shared" ref="D74:D96" si="2">F74-E74</f>
        <v>159.76401337606214</v>
      </c>
      <c r="E74" s="173">
        <f>D$62*G73</f>
        <v>15.363489986549554</v>
      </c>
      <c r="F74" s="173">
        <f>F73</f>
        <v>175.12750336261169</v>
      </c>
      <c r="G74" s="173">
        <f t="shared" ref="G74:G96" si="3">C74-D74</f>
        <v>3681.1084832613265</v>
      </c>
    </row>
    <row r="75" spans="1:7" x14ac:dyDescent="0.2">
      <c r="B75" s="168">
        <f t="shared" si="0"/>
        <v>3</v>
      </c>
      <c r="C75" s="171">
        <f t="shared" si="1"/>
        <v>3681.1084832613265</v>
      </c>
      <c r="D75" s="173">
        <f t="shared" si="2"/>
        <v>160.40306942956639</v>
      </c>
      <c r="E75" s="173">
        <f t="shared" ref="E75:E96" si="4">D$62*G74</f>
        <v>14.724433933045306</v>
      </c>
      <c r="F75" s="173">
        <f t="shared" ref="F75:F96" si="5">F74</f>
        <v>175.12750336261169</v>
      </c>
      <c r="G75" s="173">
        <f t="shared" si="3"/>
        <v>3520.7054138317599</v>
      </c>
    </row>
    <row r="76" spans="1:7" x14ac:dyDescent="0.2">
      <c r="B76" s="168">
        <f t="shared" si="0"/>
        <v>4</v>
      </c>
      <c r="C76" s="171">
        <f t="shared" si="1"/>
        <v>3520.7054138317599</v>
      </c>
      <c r="D76" s="173">
        <f t="shared" si="2"/>
        <v>161.04468170728464</v>
      </c>
      <c r="E76" s="173">
        <f t="shared" si="4"/>
        <v>14.08282165532704</v>
      </c>
      <c r="F76" s="173">
        <f t="shared" si="5"/>
        <v>175.12750336261169</v>
      </c>
      <c r="G76" s="173">
        <f t="shared" si="3"/>
        <v>3359.6607321244751</v>
      </c>
    </row>
    <row r="77" spans="1:7" x14ac:dyDescent="0.2">
      <c r="B77" s="168">
        <f t="shared" si="0"/>
        <v>5</v>
      </c>
      <c r="C77" s="171">
        <f t="shared" si="1"/>
        <v>3359.6607321244751</v>
      </c>
      <c r="D77" s="173">
        <f t="shared" si="2"/>
        <v>161.68886043411379</v>
      </c>
      <c r="E77" s="173">
        <f t="shared" si="4"/>
        <v>13.438642928497901</v>
      </c>
      <c r="F77" s="173">
        <f t="shared" si="5"/>
        <v>175.12750336261169</v>
      </c>
      <c r="G77" s="173">
        <f t="shared" si="3"/>
        <v>3197.9718716903612</v>
      </c>
    </row>
    <row r="78" spans="1:7" x14ac:dyDescent="0.2">
      <c r="B78" s="168">
        <f t="shared" si="0"/>
        <v>6</v>
      </c>
      <c r="C78" s="171">
        <f t="shared" si="1"/>
        <v>3197.9718716903612</v>
      </c>
      <c r="D78" s="173">
        <f t="shared" si="2"/>
        <v>162.33561587585024</v>
      </c>
      <c r="E78" s="173">
        <f t="shared" si="4"/>
        <v>12.791887486761444</v>
      </c>
      <c r="F78" s="173">
        <f t="shared" si="5"/>
        <v>175.12750336261169</v>
      </c>
      <c r="G78" s="173">
        <f t="shared" si="3"/>
        <v>3035.6362558145111</v>
      </c>
    </row>
    <row r="79" spans="1:7" x14ac:dyDescent="0.2">
      <c r="B79" s="168">
        <f t="shared" si="0"/>
        <v>7</v>
      </c>
      <c r="C79" s="171">
        <f t="shared" si="1"/>
        <v>3035.6362558145111</v>
      </c>
      <c r="D79" s="173">
        <f t="shared" si="2"/>
        <v>162.98495833935365</v>
      </c>
      <c r="E79" s="173">
        <f t="shared" si="4"/>
        <v>12.142545023258045</v>
      </c>
      <c r="F79" s="173">
        <f t="shared" si="5"/>
        <v>175.12750336261169</v>
      </c>
      <c r="G79" s="173">
        <f t="shared" si="3"/>
        <v>2872.6512974751572</v>
      </c>
    </row>
    <row r="80" spans="1:7" x14ac:dyDescent="0.2">
      <c r="B80" s="168">
        <f t="shared" si="0"/>
        <v>8</v>
      </c>
      <c r="C80" s="171">
        <f t="shared" si="1"/>
        <v>2872.6512974751572</v>
      </c>
      <c r="D80" s="173">
        <f t="shared" si="2"/>
        <v>163.63689817271106</v>
      </c>
      <c r="E80" s="173">
        <f t="shared" si="4"/>
        <v>11.490605189900629</v>
      </c>
      <c r="F80" s="173">
        <f t="shared" si="5"/>
        <v>175.12750336261169</v>
      </c>
      <c r="G80" s="173">
        <f t="shared" si="3"/>
        <v>2709.0143993024462</v>
      </c>
    </row>
    <row r="81" spans="2:7" x14ac:dyDescent="0.2">
      <c r="B81" s="168">
        <f t="shared" si="0"/>
        <v>9</v>
      </c>
      <c r="C81" s="171">
        <f t="shared" si="1"/>
        <v>2709.0143993024462</v>
      </c>
      <c r="D81" s="173">
        <f t="shared" si="2"/>
        <v>164.2914457654019</v>
      </c>
      <c r="E81" s="173">
        <f t="shared" si="4"/>
        <v>10.836057597209786</v>
      </c>
      <c r="F81" s="173">
        <f t="shared" si="5"/>
        <v>175.12750336261169</v>
      </c>
      <c r="G81" s="173">
        <f t="shared" si="3"/>
        <v>2544.7229535370443</v>
      </c>
    </row>
    <row r="82" spans="2:7" x14ac:dyDescent="0.2">
      <c r="B82" s="168">
        <f t="shared" si="0"/>
        <v>10</v>
      </c>
      <c r="C82" s="171">
        <f t="shared" si="1"/>
        <v>2544.7229535370443</v>
      </c>
      <c r="D82" s="173">
        <f t="shared" si="2"/>
        <v>164.9486115484635</v>
      </c>
      <c r="E82" s="173">
        <f t="shared" si="4"/>
        <v>10.178891814148177</v>
      </c>
      <c r="F82" s="173">
        <f t="shared" si="5"/>
        <v>175.12750336261169</v>
      </c>
      <c r="G82" s="173">
        <f t="shared" si="3"/>
        <v>2379.774341988581</v>
      </c>
    </row>
    <row r="83" spans="2:7" x14ac:dyDescent="0.2">
      <c r="B83" s="168">
        <f t="shared" si="0"/>
        <v>11</v>
      </c>
      <c r="C83" s="171">
        <f t="shared" si="1"/>
        <v>2379.774341988581</v>
      </c>
      <c r="D83" s="173">
        <f t="shared" si="2"/>
        <v>165.60840599465737</v>
      </c>
      <c r="E83" s="173">
        <f t="shared" si="4"/>
        <v>9.5190973679543234</v>
      </c>
      <c r="F83" s="173">
        <f t="shared" si="5"/>
        <v>175.12750336261169</v>
      </c>
      <c r="G83" s="173">
        <f t="shared" si="3"/>
        <v>2214.1659359939235</v>
      </c>
    </row>
    <row r="84" spans="2:7" x14ac:dyDescent="0.2">
      <c r="B84" s="168">
        <f t="shared" si="0"/>
        <v>12</v>
      </c>
      <c r="C84" s="171">
        <f t="shared" si="1"/>
        <v>2214.1659359939235</v>
      </c>
      <c r="D84" s="173">
        <f t="shared" si="2"/>
        <v>166.27083961863599</v>
      </c>
      <c r="E84" s="173">
        <f t="shared" si="4"/>
        <v>8.8566637439756946</v>
      </c>
      <c r="F84" s="173">
        <f t="shared" si="5"/>
        <v>175.12750336261169</v>
      </c>
      <c r="G84" s="173">
        <f t="shared" si="3"/>
        <v>2047.8950963752875</v>
      </c>
    </row>
    <row r="85" spans="2:7" x14ac:dyDescent="0.2">
      <c r="B85" s="168">
        <f t="shared" si="0"/>
        <v>13</v>
      </c>
      <c r="C85" s="171">
        <f t="shared" si="1"/>
        <v>2047.8950963752875</v>
      </c>
      <c r="D85" s="173">
        <f t="shared" si="2"/>
        <v>166.93592297711055</v>
      </c>
      <c r="E85" s="173">
        <f t="shared" si="4"/>
        <v>8.1915803855011493</v>
      </c>
      <c r="F85" s="173">
        <f t="shared" si="5"/>
        <v>175.12750336261169</v>
      </c>
      <c r="G85" s="173">
        <f t="shared" si="3"/>
        <v>1880.959173398177</v>
      </c>
    </row>
    <row r="86" spans="2:7" x14ac:dyDescent="0.2">
      <c r="B86" s="168">
        <f t="shared" si="0"/>
        <v>14</v>
      </c>
      <c r="C86" s="171">
        <f t="shared" si="1"/>
        <v>1880.959173398177</v>
      </c>
      <c r="D86" s="173">
        <f t="shared" si="2"/>
        <v>167.60366666901899</v>
      </c>
      <c r="E86" s="173">
        <f t="shared" si="4"/>
        <v>7.5238366935927079</v>
      </c>
      <c r="F86" s="173">
        <f t="shared" si="5"/>
        <v>175.12750336261169</v>
      </c>
      <c r="G86" s="173">
        <f t="shared" si="3"/>
        <v>1713.3555067291579</v>
      </c>
    </row>
    <row r="87" spans="2:7" x14ac:dyDescent="0.2">
      <c r="B87" s="168">
        <f t="shared" si="0"/>
        <v>15</v>
      </c>
      <c r="C87" s="171">
        <f t="shared" si="1"/>
        <v>1713.3555067291579</v>
      </c>
      <c r="D87" s="173">
        <f t="shared" si="2"/>
        <v>168.27408133569506</v>
      </c>
      <c r="E87" s="173">
        <f t="shared" si="4"/>
        <v>6.8534220269166317</v>
      </c>
      <c r="F87" s="173">
        <f t="shared" si="5"/>
        <v>175.12750336261169</v>
      </c>
      <c r="G87" s="173">
        <f t="shared" si="3"/>
        <v>1545.081425393463</v>
      </c>
    </row>
    <row r="88" spans="2:7" x14ac:dyDescent="0.2">
      <c r="B88" s="168">
        <f t="shared" si="0"/>
        <v>16</v>
      </c>
      <c r="C88" s="171">
        <f t="shared" si="1"/>
        <v>1545.081425393463</v>
      </c>
      <c r="D88" s="173">
        <f t="shared" si="2"/>
        <v>168.94717766103784</v>
      </c>
      <c r="E88" s="173">
        <f t="shared" si="4"/>
        <v>6.1803257015738522</v>
      </c>
      <c r="F88" s="173">
        <f t="shared" si="5"/>
        <v>175.12750336261169</v>
      </c>
      <c r="G88" s="173">
        <f t="shared" si="3"/>
        <v>1376.1342477324251</v>
      </c>
    </row>
    <row r="89" spans="2:7" x14ac:dyDescent="0.2">
      <c r="B89" s="168">
        <f t="shared" ref="B89:B96" si="6">B88+1</f>
        <v>17</v>
      </c>
      <c r="C89" s="171">
        <f t="shared" si="1"/>
        <v>1376.1342477324251</v>
      </c>
      <c r="D89" s="173">
        <f t="shared" si="2"/>
        <v>169.622966371682</v>
      </c>
      <c r="E89" s="173">
        <f t="shared" si="4"/>
        <v>5.5045369909297008</v>
      </c>
      <c r="F89" s="173">
        <f t="shared" si="5"/>
        <v>175.12750336261169</v>
      </c>
      <c r="G89" s="173">
        <f t="shared" si="3"/>
        <v>1206.5112813607432</v>
      </c>
    </row>
    <row r="90" spans="2:7" x14ac:dyDescent="0.2">
      <c r="B90" s="168">
        <f t="shared" si="6"/>
        <v>18</v>
      </c>
      <c r="C90" s="171">
        <f t="shared" si="1"/>
        <v>1206.5112813607432</v>
      </c>
      <c r="D90" s="173">
        <f t="shared" si="2"/>
        <v>170.30145823716873</v>
      </c>
      <c r="E90" s="173">
        <f t="shared" si="4"/>
        <v>4.826045125442973</v>
      </c>
      <c r="F90" s="173">
        <f t="shared" si="5"/>
        <v>175.12750336261169</v>
      </c>
      <c r="G90" s="173">
        <f t="shared" si="3"/>
        <v>1036.2098231235746</v>
      </c>
    </row>
    <row r="91" spans="2:7" x14ac:dyDescent="0.2">
      <c r="B91" s="168">
        <f t="shared" si="6"/>
        <v>19</v>
      </c>
      <c r="C91" s="171">
        <f t="shared" si="1"/>
        <v>1036.2098231235746</v>
      </c>
      <c r="D91" s="173">
        <f t="shared" si="2"/>
        <v>170.98266407011738</v>
      </c>
      <c r="E91" s="173">
        <f t="shared" si="4"/>
        <v>4.1448392924942983</v>
      </c>
      <c r="F91" s="173">
        <f t="shared" si="5"/>
        <v>175.12750336261169</v>
      </c>
      <c r="G91" s="173">
        <f t="shared" si="3"/>
        <v>865.22715905345717</v>
      </c>
    </row>
    <row r="92" spans="2:7" x14ac:dyDescent="0.2">
      <c r="B92" s="168">
        <f t="shared" si="6"/>
        <v>20</v>
      </c>
      <c r="C92" s="171">
        <f t="shared" si="1"/>
        <v>865.22715905345717</v>
      </c>
      <c r="D92" s="173">
        <f t="shared" si="2"/>
        <v>171.66659472639788</v>
      </c>
      <c r="E92" s="173">
        <f t="shared" si="4"/>
        <v>3.4609086362138286</v>
      </c>
      <c r="F92" s="173">
        <f t="shared" si="5"/>
        <v>175.12750336261169</v>
      </c>
      <c r="G92" s="173">
        <f t="shared" si="3"/>
        <v>693.5605643270593</v>
      </c>
    </row>
    <row r="93" spans="2:7" x14ac:dyDescent="0.2">
      <c r="B93" s="168">
        <f t="shared" si="6"/>
        <v>21</v>
      </c>
      <c r="C93" s="171">
        <f t="shared" si="1"/>
        <v>693.5605643270593</v>
      </c>
      <c r="D93" s="173">
        <f t="shared" si="2"/>
        <v>172.35326110530346</v>
      </c>
      <c r="E93" s="173">
        <f t="shared" si="4"/>
        <v>2.774242257308237</v>
      </c>
      <c r="F93" s="173">
        <f t="shared" si="5"/>
        <v>175.12750336261169</v>
      </c>
      <c r="G93" s="173">
        <f t="shared" si="3"/>
        <v>521.20730322175586</v>
      </c>
    </row>
    <row r="94" spans="2:7" x14ac:dyDescent="0.2">
      <c r="B94" s="168">
        <f t="shared" si="6"/>
        <v>22</v>
      </c>
      <c r="C94" s="171">
        <f t="shared" si="1"/>
        <v>521.20730322175586</v>
      </c>
      <c r="D94" s="173">
        <f t="shared" si="2"/>
        <v>173.04267414972466</v>
      </c>
      <c r="E94" s="173">
        <f t="shared" si="4"/>
        <v>2.0848292128870236</v>
      </c>
      <c r="F94" s="173">
        <f t="shared" si="5"/>
        <v>175.12750336261169</v>
      </c>
      <c r="G94" s="173">
        <f t="shared" si="3"/>
        <v>348.16462907203118</v>
      </c>
    </row>
    <row r="95" spans="2:7" x14ac:dyDescent="0.2">
      <c r="B95" s="168">
        <f t="shared" si="6"/>
        <v>23</v>
      </c>
      <c r="C95" s="171">
        <f t="shared" si="1"/>
        <v>348.16462907203118</v>
      </c>
      <c r="D95" s="173">
        <f t="shared" si="2"/>
        <v>173.73484484632357</v>
      </c>
      <c r="E95" s="173">
        <f t="shared" si="4"/>
        <v>1.3926585162881246</v>
      </c>
      <c r="F95" s="173">
        <f t="shared" si="5"/>
        <v>175.12750336261169</v>
      </c>
      <c r="G95" s="173">
        <f t="shared" si="3"/>
        <v>174.42978422570761</v>
      </c>
    </row>
    <row r="96" spans="2:7" x14ac:dyDescent="0.2">
      <c r="B96" s="168">
        <f t="shared" si="6"/>
        <v>24</v>
      </c>
      <c r="C96" s="171">
        <f t="shared" si="1"/>
        <v>174.42978422570761</v>
      </c>
      <c r="D96" s="173">
        <f t="shared" si="2"/>
        <v>174.42978422570886</v>
      </c>
      <c r="E96" s="173">
        <f t="shared" si="4"/>
        <v>0.69771913690283049</v>
      </c>
      <c r="F96" s="173">
        <f t="shared" si="5"/>
        <v>175.12750336261169</v>
      </c>
      <c r="G96" s="173">
        <f t="shared" si="3"/>
        <v>-1.2505552149377763E-12</v>
      </c>
    </row>
    <row r="98" spans="1:8" x14ac:dyDescent="0.2">
      <c r="E98" s="109"/>
    </row>
    <row r="99" spans="1:8" x14ac:dyDescent="0.2">
      <c r="A99" s="167" t="s">
        <v>2725</v>
      </c>
      <c r="B99" s="167"/>
      <c r="C99" s="167"/>
      <c r="D99" s="167"/>
      <c r="E99" s="167"/>
      <c r="F99" s="167"/>
      <c r="G99" s="167"/>
      <c r="H99" s="167"/>
    </row>
    <row r="100" spans="1:8" x14ac:dyDescent="0.2">
      <c r="A100" s="92" t="s">
        <v>1471</v>
      </c>
    </row>
    <row r="101" spans="1:8" x14ac:dyDescent="0.2">
      <c r="A101" s="92" t="s">
        <v>1472</v>
      </c>
    </row>
    <row r="102" spans="1:8" x14ac:dyDescent="0.2">
      <c r="A102" s="92" t="s">
        <v>1473</v>
      </c>
    </row>
    <row r="103" spans="1:8" x14ac:dyDescent="0.2">
      <c r="A103" s="92" t="s">
        <v>321</v>
      </c>
    </row>
    <row r="104" spans="1:8" x14ac:dyDescent="0.2">
      <c r="A104" s="92" t="s">
        <v>1474</v>
      </c>
      <c r="E104" s="92" t="s">
        <v>1475</v>
      </c>
    </row>
    <row r="105" spans="1:8" x14ac:dyDescent="0.2">
      <c r="A105" s="92" t="s">
        <v>1476</v>
      </c>
      <c r="E105" s="92" t="s">
        <v>2726</v>
      </c>
    </row>
    <row r="106" spans="1:8" x14ac:dyDescent="0.2">
      <c r="A106" s="92" t="s">
        <v>1477</v>
      </c>
      <c r="E106" s="92" t="s">
        <v>2727</v>
      </c>
    </row>
    <row r="107" spans="1:8" x14ac:dyDescent="0.2">
      <c r="A107" s="92" t="s">
        <v>1478</v>
      </c>
      <c r="E107" s="92" t="s">
        <v>1479</v>
      </c>
    </row>
    <row r="109" spans="1:8" x14ac:dyDescent="0.2">
      <c r="A109" s="93" t="s">
        <v>1480</v>
      </c>
    </row>
    <row r="110" spans="1:8" x14ac:dyDescent="0.2">
      <c r="A110" s="92" t="s">
        <v>1481</v>
      </c>
      <c r="E110" s="464">
        <v>8.0000000000000002E-3</v>
      </c>
      <c r="F110" s="92" t="s">
        <v>87</v>
      </c>
    </row>
    <row r="111" spans="1:8" x14ac:dyDescent="0.2">
      <c r="A111" s="92" t="s">
        <v>3267</v>
      </c>
      <c r="E111" s="460">
        <f>10*12</f>
        <v>120</v>
      </c>
      <c r="F111" s="92" t="s">
        <v>89</v>
      </c>
    </row>
    <row r="112" spans="1:8" x14ac:dyDescent="0.2">
      <c r="A112" s="92" t="s">
        <v>1482</v>
      </c>
      <c r="E112" s="579">
        <f>PMT(E110,E111,E113,E114)</f>
        <v>-97.459268774618423</v>
      </c>
      <c r="F112" s="92" t="s">
        <v>91</v>
      </c>
    </row>
    <row r="113" spans="1:7" x14ac:dyDescent="0.2">
      <c r="A113" s="92" t="s">
        <v>2853</v>
      </c>
      <c r="E113" s="460">
        <v>7500</v>
      </c>
      <c r="F113" s="92" t="s">
        <v>281</v>
      </c>
    </row>
    <row r="114" spans="1:7" x14ac:dyDescent="0.2">
      <c r="A114" s="92" t="s">
        <v>1483</v>
      </c>
      <c r="E114" s="460">
        <v>0</v>
      </c>
      <c r="F114" s="92" t="s">
        <v>105</v>
      </c>
    </row>
    <row r="116" spans="1:7" x14ac:dyDescent="0.2">
      <c r="A116" s="93" t="s">
        <v>3268</v>
      </c>
    </row>
    <row r="117" spans="1:7" ht="17" thickBot="1" x14ac:dyDescent="0.25">
      <c r="A117" s="304" t="s">
        <v>1484</v>
      </c>
      <c r="B117" s="304"/>
      <c r="C117" s="304"/>
      <c r="D117" s="304"/>
      <c r="E117" s="464">
        <f>E110</f>
        <v>8.0000000000000002E-3</v>
      </c>
      <c r="F117" s="92" t="s">
        <v>87</v>
      </c>
    </row>
    <row r="118" spans="1:7" ht="17" thickBot="1" x14ac:dyDescent="0.25">
      <c r="A118" s="304" t="s">
        <v>1487</v>
      </c>
      <c r="B118" s="304"/>
      <c r="C118" s="304"/>
      <c r="D118" s="304"/>
      <c r="E118" s="624">
        <v>28</v>
      </c>
      <c r="F118" s="125" t="s">
        <v>1488</v>
      </c>
      <c r="G118" s="623" t="s">
        <v>1489</v>
      </c>
    </row>
    <row r="119" spans="1:7" x14ac:dyDescent="0.2">
      <c r="A119" s="304" t="s">
        <v>1485</v>
      </c>
      <c r="B119" s="304"/>
      <c r="C119" s="304"/>
      <c r="D119" s="304"/>
      <c r="E119" s="460">
        <f>E111</f>
        <v>120</v>
      </c>
      <c r="F119" s="92" t="s">
        <v>89</v>
      </c>
    </row>
    <row r="120" spans="1:7" x14ac:dyDescent="0.2">
      <c r="A120" s="304" t="s">
        <v>1486</v>
      </c>
      <c r="B120" s="304"/>
      <c r="C120" s="304"/>
      <c r="D120" s="304"/>
      <c r="E120" s="460">
        <f>E113</f>
        <v>7500</v>
      </c>
      <c r="F120" s="92" t="s">
        <v>281</v>
      </c>
    </row>
    <row r="121" spans="1:7" x14ac:dyDescent="0.2">
      <c r="A121" s="304" t="s">
        <v>1483</v>
      </c>
      <c r="B121" s="304"/>
      <c r="C121" s="304"/>
      <c r="D121" s="304"/>
      <c r="E121" s="460">
        <f>E114</f>
        <v>0</v>
      </c>
      <c r="F121" s="92" t="s">
        <v>105</v>
      </c>
    </row>
    <row r="122" spans="1:7" x14ac:dyDescent="0.2">
      <c r="A122" s="304"/>
      <c r="B122" s="304"/>
      <c r="C122" s="304" t="str">
        <f ca="1">_xlfn.FORMULATEXT(E122)</f>
        <v>=PPMT(E117,E118,E119,E120,E121)</v>
      </c>
      <c r="D122" s="304"/>
      <c r="E122" s="579">
        <f>PPMT(E117,E118,E119,E120,E121)</f>
        <v>-46.450849667842007</v>
      </c>
      <c r="F122" s="92" t="s">
        <v>1490</v>
      </c>
      <c r="G122" s="92" t="s">
        <v>3270</v>
      </c>
    </row>
    <row r="124" spans="1:7" x14ac:dyDescent="0.2">
      <c r="A124" s="92" t="s">
        <v>3269</v>
      </c>
    </row>
    <row r="126" spans="1:7" x14ac:dyDescent="0.2">
      <c r="A126" s="93" t="s">
        <v>3271</v>
      </c>
    </row>
    <row r="127" spans="1:7" ht="17" thickBot="1" x14ac:dyDescent="0.25">
      <c r="A127" s="92" t="s">
        <v>1484</v>
      </c>
      <c r="E127" s="122">
        <v>8.0000000000000002E-3</v>
      </c>
      <c r="F127" s="92" t="s">
        <v>87</v>
      </c>
    </row>
    <row r="128" spans="1:7" ht="17" thickBot="1" x14ac:dyDescent="0.25">
      <c r="A128" s="92" t="s">
        <v>1487</v>
      </c>
      <c r="E128" s="624">
        <v>94</v>
      </c>
      <c r="F128" s="625" t="s">
        <v>1488</v>
      </c>
      <c r="G128" s="626" t="s">
        <v>1489</v>
      </c>
    </row>
    <row r="129" spans="1:7" x14ac:dyDescent="0.2">
      <c r="A129" s="92" t="s">
        <v>1485</v>
      </c>
      <c r="E129" s="105">
        <f>10*12</f>
        <v>120</v>
      </c>
      <c r="F129" s="92" t="s">
        <v>89</v>
      </c>
    </row>
    <row r="130" spans="1:7" x14ac:dyDescent="0.2">
      <c r="A130" s="92" t="s">
        <v>1486</v>
      </c>
      <c r="E130" s="105">
        <v>7500</v>
      </c>
      <c r="F130" s="92" t="s">
        <v>281</v>
      </c>
    </row>
    <row r="131" spans="1:7" x14ac:dyDescent="0.2">
      <c r="A131" s="92" t="s">
        <v>1483</v>
      </c>
      <c r="E131" s="105">
        <v>0</v>
      </c>
      <c r="F131" s="92" t="s">
        <v>105</v>
      </c>
    </row>
    <row r="132" spans="1:7" x14ac:dyDescent="0.2">
      <c r="A132" s="92" t="s">
        <v>3272</v>
      </c>
      <c r="E132" s="106">
        <f>IPMT(E127,E128,E129,E130,E131)</f>
        <v>-18.865379325624556</v>
      </c>
      <c r="F132" s="92" t="s">
        <v>1491</v>
      </c>
    </row>
    <row r="134" spans="1:7" x14ac:dyDescent="0.2">
      <c r="A134" s="92" t="s">
        <v>2728</v>
      </c>
    </row>
    <row r="136" spans="1:7" x14ac:dyDescent="0.2">
      <c r="A136" s="93" t="s">
        <v>1492</v>
      </c>
    </row>
    <row r="137" spans="1:7" x14ac:dyDescent="0.2">
      <c r="A137" s="627" t="s">
        <v>3273</v>
      </c>
      <c r="B137" s="627"/>
      <c r="C137" s="627"/>
      <c r="D137" s="627"/>
      <c r="E137" s="627"/>
      <c r="F137" s="627"/>
      <c r="G137" s="627"/>
    </row>
    <row r="138" spans="1:7" x14ac:dyDescent="0.2">
      <c r="A138" s="92" t="s">
        <v>1493</v>
      </c>
    </row>
    <row r="139" spans="1:7" x14ac:dyDescent="0.2">
      <c r="A139" s="92" t="s">
        <v>1494</v>
      </c>
      <c r="D139" s="105">
        <v>87</v>
      </c>
      <c r="E139" s="92" t="s">
        <v>1495</v>
      </c>
    </row>
    <row r="141" spans="1:7" x14ac:dyDescent="0.2">
      <c r="A141" s="93" t="s">
        <v>1496</v>
      </c>
    </row>
    <row r="143" spans="1:7" x14ac:dyDescent="0.2">
      <c r="A143" s="628" t="s">
        <v>1497</v>
      </c>
      <c r="B143" s="628"/>
      <c r="C143" s="628"/>
      <c r="D143" s="628"/>
    </row>
    <row r="144" spans="1:7" x14ac:dyDescent="0.2">
      <c r="A144" s="92" t="s">
        <v>2729</v>
      </c>
      <c r="E144" s="122">
        <v>8.0000000000000002E-3</v>
      </c>
      <c r="F144" s="92" t="s">
        <v>87</v>
      </c>
    </row>
    <row r="145" spans="1:7" x14ac:dyDescent="0.2">
      <c r="A145" s="92" t="s">
        <v>2730</v>
      </c>
      <c r="E145" s="105">
        <v>120</v>
      </c>
      <c r="F145" s="92" t="s">
        <v>89</v>
      </c>
    </row>
    <row r="146" spans="1:7" x14ac:dyDescent="0.2">
      <c r="A146" s="92" t="s">
        <v>2731</v>
      </c>
      <c r="E146" s="105">
        <v>7500</v>
      </c>
      <c r="F146" s="92" t="s">
        <v>281</v>
      </c>
    </row>
    <row r="147" spans="1:7" x14ac:dyDescent="0.2">
      <c r="A147" s="92" t="s">
        <v>2733</v>
      </c>
      <c r="E147" s="106">
        <f>PMT(E144,E145,E146,E148)</f>
        <v>-97.459268774618423</v>
      </c>
      <c r="F147" s="92" t="s">
        <v>91</v>
      </c>
    </row>
    <row r="148" spans="1:7" x14ac:dyDescent="0.2">
      <c r="A148" s="92" t="s">
        <v>2732</v>
      </c>
      <c r="E148" s="105">
        <v>0</v>
      </c>
      <c r="F148" s="92" t="s">
        <v>105</v>
      </c>
    </row>
    <row r="150" spans="1:7" x14ac:dyDescent="0.2">
      <c r="A150" s="628" t="s">
        <v>1498</v>
      </c>
    </row>
    <row r="151" spans="1:7" x14ac:dyDescent="0.2">
      <c r="A151" s="304" t="s">
        <v>3274</v>
      </c>
      <c r="B151" s="304"/>
      <c r="C151" s="304"/>
      <c r="D151" s="304"/>
      <c r="E151" s="672"/>
      <c r="F151" s="304"/>
      <c r="G151" s="304"/>
    </row>
    <row r="152" spans="1:7" x14ac:dyDescent="0.2">
      <c r="A152" s="304" t="s">
        <v>3275</v>
      </c>
      <c r="B152" s="304"/>
      <c r="C152" s="304"/>
      <c r="D152" s="304"/>
      <c r="E152" s="460"/>
      <c r="F152" s="304"/>
      <c r="G152" s="304"/>
    </row>
    <row r="153" spans="1:7" x14ac:dyDescent="0.2">
      <c r="A153" s="304"/>
      <c r="B153" s="304"/>
      <c r="C153" s="304"/>
      <c r="D153" s="304"/>
      <c r="E153" s="460"/>
      <c r="F153" s="304"/>
      <c r="G153" s="304"/>
    </row>
    <row r="154" spans="1:7" x14ac:dyDescent="0.2">
      <c r="A154" s="304" t="s">
        <v>3276</v>
      </c>
      <c r="B154" s="304"/>
      <c r="C154" s="304"/>
      <c r="D154" s="304"/>
      <c r="E154" s="672">
        <f>E144</f>
        <v>8.0000000000000002E-3</v>
      </c>
      <c r="F154" s="304" t="s">
        <v>87</v>
      </c>
      <c r="G154" s="304"/>
    </row>
    <row r="155" spans="1:7" x14ac:dyDescent="0.2">
      <c r="A155" s="304" t="s">
        <v>3277</v>
      </c>
      <c r="B155" s="304"/>
      <c r="C155" s="304"/>
      <c r="D155" s="304"/>
      <c r="E155" s="460">
        <f>120-33</f>
        <v>87</v>
      </c>
      <c r="F155" s="117" t="s">
        <v>89</v>
      </c>
      <c r="G155" s="304"/>
    </row>
    <row r="156" spans="1:7" x14ac:dyDescent="0.2">
      <c r="A156" s="304" t="s">
        <v>3278</v>
      </c>
      <c r="B156" s="304"/>
      <c r="C156" s="304"/>
      <c r="D156" s="304"/>
      <c r="E156" s="671">
        <f>E147</f>
        <v>-97.459268774618423</v>
      </c>
      <c r="F156" s="304" t="s">
        <v>91</v>
      </c>
      <c r="G156" s="304"/>
    </row>
    <row r="157" spans="1:7" x14ac:dyDescent="0.2">
      <c r="A157" s="304" t="s">
        <v>3279</v>
      </c>
      <c r="B157" s="304"/>
      <c r="C157" s="304"/>
      <c r="D157" s="304"/>
      <c r="E157" s="688">
        <f>PV(E154,E155,E156,E158)</f>
        <v>6091.7133734066838</v>
      </c>
      <c r="F157" s="304" t="s">
        <v>281</v>
      </c>
      <c r="G157" s="304"/>
    </row>
    <row r="158" spans="1:7" x14ac:dyDescent="0.2">
      <c r="A158" s="304"/>
      <c r="B158" s="304"/>
      <c r="C158" s="304"/>
      <c r="D158" s="304"/>
      <c r="E158" s="460">
        <v>0</v>
      </c>
      <c r="F158" s="304" t="s">
        <v>105</v>
      </c>
      <c r="G158" s="304"/>
    </row>
    <row r="159" spans="1:7" x14ac:dyDescent="0.2">
      <c r="E159" s="105"/>
    </row>
    <row r="160" spans="1:7" x14ac:dyDescent="0.2">
      <c r="A160" s="93" t="s">
        <v>2734</v>
      </c>
      <c r="E160" s="105"/>
    </row>
    <row r="161" spans="1:8" x14ac:dyDescent="0.2">
      <c r="E161" s="105"/>
    </row>
    <row r="162" spans="1:8" x14ac:dyDescent="0.2">
      <c r="A162" s="92" t="s">
        <v>1499</v>
      </c>
      <c r="E162" s="105"/>
    </row>
    <row r="163" spans="1:8" x14ac:dyDescent="0.2">
      <c r="A163" s="92" t="s">
        <v>1500</v>
      </c>
      <c r="E163" s="105"/>
    </row>
    <row r="164" spans="1:8" x14ac:dyDescent="0.2">
      <c r="A164" s="92" t="s">
        <v>1501</v>
      </c>
      <c r="E164" s="105"/>
    </row>
    <row r="165" spans="1:8" ht="17" thickBot="1" x14ac:dyDescent="0.25">
      <c r="E165" s="105"/>
    </row>
    <row r="166" spans="1:8" x14ac:dyDescent="0.2">
      <c r="A166" s="95" t="s">
        <v>2735</v>
      </c>
      <c r="B166" s="96"/>
      <c r="C166" s="96"/>
      <c r="D166" s="96"/>
      <c r="E166" s="474"/>
      <c r="F166" s="96"/>
      <c r="G166" s="96"/>
      <c r="H166" s="97"/>
    </row>
    <row r="167" spans="1:8" x14ac:dyDescent="0.2">
      <c r="A167" s="98"/>
      <c r="E167" s="105"/>
      <c r="H167" s="99"/>
    </row>
    <row r="168" spans="1:8" x14ac:dyDescent="0.2">
      <c r="A168" s="98"/>
      <c r="B168" s="111" t="s">
        <v>2736</v>
      </c>
      <c r="C168" s="111"/>
      <c r="D168" s="110" t="s">
        <v>2737</v>
      </c>
      <c r="E168" s="105"/>
      <c r="H168" s="99"/>
    </row>
    <row r="169" spans="1:8" x14ac:dyDescent="0.2">
      <c r="A169" s="98"/>
      <c r="B169" s="43" t="s">
        <v>2738</v>
      </c>
      <c r="D169" s="105" t="s">
        <v>1469</v>
      </c>
      <c r="E169" s="105"/>
      <c r="H169" s="99"/>
    </row>
    <row r="170" spans="1:8" x14ac:dyDescent="0.2">
      <c r="A170" s="98"/>
      <c r="B170" s="43" t="s">
        <v>2739</v>
      </c>
      <c r="D170" s="105" t="s">
        <v>2740</v>
      </c>
      <c r="E170" s="105"/>
      <c r="H170" s="99"/>
    </row>
    <row r="171" spans="1:8" x14ac:dyDescent="0.2">
      <c r="A171" s="98"/>
      <c r="B171" s="43" t="s">
        <v>2741</v>
      </c>
      <c r="D171" s="105" t="s">
        <v>2742</v>
      </c>
      <c r="E171" s="105"/>
      <c r="H171" s="99"/>
    </row>
    <row r="172" spans="1:8" ht="17" thickBot="1" x14ac:dyDescent="0.25">
      <c r="A172" s="100"/>
      <c r="B172" s="217" t="s">
        <v>2743</v>
      </c>
      <c r="C172" s="101"/>
      <c r="D172" s="475" t="s">
        <v>34</v>
      </c>
      <c r="E172" s="630" t="s">
        <v>2744</v>
      </c>
      <c r="F172" s="101"/>
      <c r="G172" s="101"/>
      <c r="H172" s="102"/>
    </row>
    <row r="173" spans="1:8" ht="17" thickBot="1" x14ac:dyDescent="0.25">
      <c r="E173" s="105"/>
    </row>
    <row r="174" spans="1:8" ht="17" thickBot="1" x14ac:dyDescent="0.25">
      <c r="A174" s="124" t="s">
        <v>2748</v>
      </c>
      <c r="B174" s="125"/>
      <c r="C174" s="125"/>
      <c r="D174" s="125"/>
      <c r="E174" s="636"/>
      <c r="F174" s="125"/>
      <c r="G174" s="125"/>
      <c r="H174" s="126"/>
    </row>
    <row r="175" spans="1:8" ht="17" thickBot="1" x14ac:dyDescent="0.25">
      <c r="E175" s="105"/>
    </row>
    <row r="176" spans="1:8" ht="17" thickBot="1" x14ac:dyDescent="0.25">
      <c r="A176" s="124" t="s">
        <v>2749</v>
      </c>
      <c r="B176" s="637"/>
      <c r="C176" s="637"/>
      <c r="D176" s="637"/>
      <c r="E176" s="638"/>
      <c r="F176" s="637"/>
      <c r="G176" s="637"/>
      <c r="H176" s="639"/>
    </row>
    <row r="177" spans="1:8" x14ac:dyDescent="0.2">
      <c r="E177" s="105"/>
    </row>
    <row r="178" spans="1:8" x14ac:dyDescent="0.2">
      <c r="E178" s="105"/>
    </row>
    <row r="179" spans="1:8" x14ac:dyDescent="0.2">
      <c r="E179" s="105"/>
    </row>
    <row r="180" spans="1:8" x14ac:dyDescent="0.2">
      <c r="A180" s="167" t="s">
        <v>2745</v>
      </c>
      <c r="B180" s="167"/>
      <c r="C180" s="167"/>
      <c r="D180" s="167"/>
      <c r="E180" s="167"/>
      <c r="F180" s="167"/>
      <c r="G180" s="167"/>
      <c r="H180" s="167"/>
    </row>
    <row r="181" spans="1:8" x14ac:dyDescent="0.2">
      <c r="A181" s="92" t="s">
        <v>1502</v>
      </c>
    </row>
    <row r="182" spans="1:8" x14ac:dyDescent="0.2">
      <c r="A182" s="92" t="s">
        <v>2746</v>
      </c>
    </row>
    <row r="183" spans="1:8" x14ac:dyDescent="0.2">
      <c r="A183" s="92" t="s">
        <v>1503</v>
      </c>
    </row>
    <row r="184" spans="1:8" x14ac:dyDescent="0.2">
      <c r="A184" s="92" t="s">
        <v>1504</v>
      </c>
    </row>
    <row r="186" spans="1:8" x14ac:dyDescent="0.2">
      <c r="D186" s="588" t="s">
        <v>2077</v>
      </c>
      <c r="E186" s="588" t="s">
        <v>2099</v>
      </c>
      <c r="F186" s="588" t="s">
        <v>2099</v>
      </c>
      <c r="G186" s="588" t="s">
        <v>775</v>
      </c>
    </row>
    <row r="187" spans="1:8" x14ac:dyDescent="0.2">
      <c r="D187" s="588" t="s">
        <v>2303</v>
      </c>
      <c r="E187" s="588" t="s">
        <v>3286</v>
      </c>
      <c r="F187" s="588" t="s">
        <v>3290</v>
      </c>
      <c r="G187" s="588" t="s">
        <v>3286</v>
      </c>
    </row>
    <row r="188" spans="1:8" x14ac:dyDescent="0.2">
      <c r="D188" s="588" t="s">
        <v>3280</v>
      </c>
      <c r="E188" s="588" t="s">
        <v>3288</v>
      </c>
      <c r="F188" s="588" t="s">
        <v>3291</v>
      </c>
      <c r="G188" s="588" t="s">
        <v>3287</v>
      </c>
    </row>
    <row r="189" spans="1:8" x14ac:dyDescent="0.2">
      <c r="D189" s="631" t="s">
        <v>1467</v>
      </c>
      <c r="E189" s="514" t="s">
        <v>1506</v>
      </c>
      <c r="F189" s="634" t="s">
        <v>1507</v>
      </c>
      <c r="G189" s="172" t="s">
        <v>1470</v>
      </c>
    </row>
    <row r="190" spans="1:8" x14ac:dyDescent="0.2">
      <c r="B190" s="169" t="s">
        <v>1448</v>
      </c>
      <c r="C190" s="169" t="s">
        <v>1449</v>
      </c>
      <c r="D190" s="632" t="s">
        <v>1450</v>
      </c>
      <c r="E190" s="633" t="s">
        <v>1451</v>
      </c>
      <c r="F190" s="635" t="s">
        <v>1452</v>
      </c>
      <c r="G190" s="169" t="s">
        <v>1453</v>
      </c>
    </row>
    <row r="191" spans="1:8" x14ac:dyDescent="0.2">
      <c r="B191" s="92">
        <v>0</v>
      </c>
      <c r="C191" s="689"/>
      <c r="D191" s="689"/>
      <c r="E191" s="689"/>
      <c r="F191" s="689"/>
      <c r="G191" s="105" t="s">
        <v>1636</v>
      </c>
    </row>
    <row r="192" spans="1:8" x14ac:dyDescent="0.2">
      <c r="D192" s="105" t="s">
        <v>3281</v>
      </c>
      <c r="E192" s="588" t="s">
        <v>3289</v>
      </c>
      <c r="G192" s="105" t="s">
        <v>3282</v>
      </c>
    </row>
    <row r="193" spans="1:9" x14ac:dyDescent="0.2">
      <c r="D193" s="105" t="str">
        <f>D192</f>
        <v>LOAN/n</v>
      </c>
      <c r="G193" s="105" t="s">
        <v>3283</v>
      </c>
    </row>
    <row r="194" spans="1:9" x14ac:dyDescent="0.2">
      <c r="D194" s="105" t="str">
        <f>D193</f>
        <v>LOAN/n</v>
      </c>
      <c r="G194" s="105" t="s">
        <v>3284</v>
      </c>
    </row>
    <row r="195" spans="1:9" x14ac:dyDescent="0.2">
      <c r="D195" s="105" t="str">
        <f>D194</f>
        <v>LOAN/n</v>
      </c>
      <c r="G195" s="105" t="s">
        <v>3285</v>
      </c>
    </row>
    <row r="197" spans="1:9" x14ac:dyDescent="0.2">
      <c r="A197" s="92" t="s">
        <v>3292</v>
      </c>
    </row>
    <row r="199" spans="1:9" x14ac:dyDescent="0.2">
      <c r="B199" s="690" t="s">
        <v>1448</v>
      </c>
      <c r="C199" s="690" t="s">
        <v>1449</v>
      </c>
      <c r="D199" s="691" t="s">
        <v>1450</v>
      </c>
      <c r="E199" s="187" t="s">
        <v>1451</v>
      </c>
      <c r="F199" s="692" t="s">
        <v>1452</v>
      </c>
      <c r="G199" s="690" t="s">
        <v>1453</v>
      </c>
    </row>
    <row r="200" spans="1:9" x14ac:dyDescent="0.2">
      <c r="B200" s="105">
        <v>0</v>
      </c>
      <c r="C200" s="693"/>
      <c r="D200" s="693"/>
      <c r="E200" s="693"/>
      <c r="F200" s="693"/>
      <c r="G200" s="105">
        <v>189</v>
      </c>
    </row>
    <row r="201" spans="1:9" x14ac:dyDescent="0.2">
      <c r="B201" s="105">
        <f>B200+1</f>
        <v>1</v>
      </c>
      <c r="C201" s="105">
        <f>G200</f>
        <v>189</v>
      </c>
      <c r="D201" s="105">
        <f>G200/12</f>
        <v>15.75</v>
      </c>
      <c r="E201" s="105">
        <f>C201*H$203</f>
        <v>1.26</v>
      </c>
      <c r="F201" s="105">
        <f>D201+E201</f>
        <v>17.010000000000002</v>
      </c>
      <c r="G201" s="105">
        <f>C201-D201</f>
        <v>173.25</v>
      </c>
    </row>
    <row r="202" spans="1:9" x14ac:dyDescent="0.2">
      <c r="B202" s="105">
        <f t="shared" ref="B202:B211" si="7">B201+1</f>
        <v>2</v>
      </c>
      <c r="C202" s="105">
        <f t="shared" ref="C202:C212" si="8">G201</f>
        <v>173.25</v>
      </c>
      <c r="D202" s="105">
        <f>D201</f>
        <v>15.75</v>
      </c>
      <c r="E202" s="105">
        <f t="shared" ref="E202:E212" si="9">C202*H$203</f>
        <v>1.155</v>
      </c>
      <c r="F202" s="105">
        <f t="shared" ref="F202:F212" si="10">D202+E202</f>
        <v>16.905000000000001</v>
      </c>
      <c r="G202" s="105">
        <f>C202-D202</f>
        <v>157.5</v>
      </c>
    </row>
    <row r="203" spans="1:9" x14ac:dyDescent="0.2">
      <c r="B203" s="105">
        <f t="shared" si="7"/>
        <v>3</v>
      </c>
      <c r="C203" s="105">
        <f t="shared" si="8"/>
        <v>157.5</v>
      </c>
      <c r="D203" s="105">
        <f t="shared" ref="D203:D212" si="11">D202</f>
        <v>15.75</v>
      </c>
      <c r="E203" s="105">
        <f t="shared" si="9"/>
        <v>1.05</v>
      </c>
      <c r="F203" s="105">
        <f t="shared" si="10"/>
        <v>16.8</v>
      </c>
      <c r="G203" s="105">
        <f t="shared" ref="G203:G212" si="12">C203-D203</f>
        <v>141.75</v>
      </c>
      <c r="H203" s="694">
        <f>8%/12</f>
        <v>6.6666666666666671E-3</v>
      </c>
    </row>
    <row r="204" spans="1:9" x14ac:dyDescent="0.2">
      <c r="B204" s="105">
        <f t="shared" si="7"/>
        <v>4</v>
      </c>
      <c r="C204" s="105">
        <f t="shared" si="8"/>
        <v>141.75</v>
      </c>
      <c r="D204" s="105">
        <f t="shared" si="11"/>
        <v>15.75</v>
      </c>
      <c r="E204" s="105">
        <f t="shared" si="9"/>
        <v>0.94500000000000006</v>
      </c>
      <c r="F204" s="105">
        <f t="shared" si="10"/>
        <v>16.695</v>
      </c>
      <c r="G204" s="105">
        <f t="shared" si="12"/>
        <v>126</v>
      </c>
    </row>
    <row r="205" spans="1:9" x14ac:dyDescent="0.2">
      <c r="B205" s="105">
        <f t="shared" si="7"/>
        <v>5</v>
      </c>
      <c r="C205" s="105">
        <f t="shared" si="8"/>
        <v>126</v>
      </c>
      <c r="D205" s="105">
        <f t="shared" si="11"/>
        <v>15.75</v>
      </c>
      <c r="E205" s="105">
        <f t="shared" si="9"/>
        <v>0.84000000000000008</v>
      </c>
      <c r="F205" s="105">
        <f t="shared" si="10"/>
        <v>16.59</v>
      </c>
      <c r="G205" s="105">
        <f t="shared" si="12"/>
        <v>110.25</v>
      </c>
      <c r="I205" s="92" t="s">
        <v>3293</v>
      </c>
    </row>
    <row r="206" spans="1:9" x14ac:dyDescent="0.2">
      <c r="B206" s="105">
        <f t="shared" si="7"/>
        <v>6</v>
      </c>
      <c r="C206" s="105">
        <f t="shared" si="8"/>
        <v>110.25</v>
      </c>
      <c r="D206" s="105">
        <f t="shared" si="11"/>
        <v>15.75</v>
      </c>
      <c r="E206" s="105">
        <f t="shared" si="9"/>
        <v>0.7350000000000001</v>
      </c>
      <c r="F206" s="105">
        <f t="shared" si="10"/>
        <v>16.484999999999999</v>
      </c>
      <c r="G206" s="105">
        <f t="shared" si="12"/>
        <v>94.5</v>
      </c>
      <c r="I206" s="92" t="s">
        <v>3294</v>
      </c>
    </row>
    <row r="207" spans="1:9" x14ac:dyDescent="0.2">
      <c r="B207" s="105">
        <f t="shared" si="7"/>
        <v>7</v>
      </c>
      <c r="C207" s="105">
        <f t="shared" si="8"/>
        <v>94.5</v>
      </c>
      <c r="D207" s="105">
        <f t="shared" si="11"/>
        <v>15.75</v>
      </c>
      <c r="E207" s="105">
        <f t="shared" si="9"/>
        <v>0.63</v>
      </c>
      <c r="F207" s="105">
        <f t="shared" si="10"/>
        <v>16.38</v>
      </c>
      <c r="G207" s="105">
        <f t="shared" si="12"/>
        <v>78.75</v>
      </c>
      <c r="I207" s="92" t="s">
        <v>3295</v>
      </c>
    </row>
    <row r="208" spans="1:9" x14ac:dyDescent="0.2">
      <c r="B208" s="105">
        <f t="shared" si="7"/>
        <v>8</v>
      </c>
      <c r="C208" s="105">
        <f t="shared" si="8"/>
        <v>78.75</v>
      </c>
      <c r="D208" s="105">
        <f t="shared" si="11"/>
        <v>15.75</v>
      </c>
      <c r="E208" s="105">
        <f t="shared" si="9"/>
        <v>0.52500000000000002</v>
      </c>
      <c r="F208" s="105">
        <f t="shared" si="10"/>
        <v>16.274999999999999</v>
      </c>
      <c r="G208" s="105">
        <f t="shared" si="12"/>
        <v>63</v>
      </c>
    </row>
    <row r="209" spans="1:9" x14ac:dyDescent="0.2">
      <c r="B209" s="105">
        <f t="shared" si="7"/>
        <v>9</v>
      </c>
      <c r="C209" s="105">
        <f t="shared" si="8"/>
        <v>63</v>
      </c>
      <c r="D209" s="105">
        <f t="shared" si="11"/>
        <v>15.75</v>
      </c>
      <c r="E209" s="105">
        <f t="shared" si="9"/>
        <v>0.42000000000000004</v>
      </c>
      <c r="F209" s="105">
        <f t="shared" si="10"/>
        <v>16.170000000000002</v>
      </c>
      <c r="G209" s="105">
        <f t="shared" si="12"/>
        <v>47.25</v>
      </c>
      <c r="I209" s="92" t="s">
        <v>3296</v>
      </c>
    </row>
    <row r="210" spans="1:9" x14ac:dyDescent="0.2">
      <c r="B210" s="105">
        <f t="shared" si="7"/>
        <v>10</v>
      </c>
      <c r="C210" s="105">
        <f t="shared" si="8"/>
        <v>47.25</v>
      </c>
      <c r="D210" s="105">
        <f t="shared" si="11"/>
        <v>15.75</v>
      </c>
      <c r="E210" s="105">
        <f t="shared" si="9"/>
        <v>0.315</v>
      </c>
      <c r="F210" s="105">
        <f t="shared" si="10"/>
        <v>16.065000000000001</v>
      </c>
      <c r="G210" s="105">
        <f t="shared" si="12"/>
        <v>31.5</v>
      </c>
      <c r="I210" s="92" t="s">
        <v>3297</v>
      </c>
    </row>
    <row r="211" spans="1:9" x14ac:dyDescent="0.2">
      <c r="B211" s="105">
        <f t="shared" si="7"/>
        <v>11</v>
      </c>
      <c r="C211" s="105">
        <f t="shared" si="8"/>
        <v>31.5</v>
      </c>
      <c r="D211" s="105">
        <f t="shared" si="11"/>
        <v>15.75</v>
      </c>
      <c r="E211" s="105">
        <f t="shared" si="9"/>
        <v>0.21000000000000002</v>
      </c>
      <c r="F211" s="105">
        <f t="shared" si="10"/>
        <v>15.96</v>
      </c>
      <c r="G211" s="105">
        <f t="shared" si="12"/>
        <v>15.75</v>
      </c>
    </row>
    <row r="212" spans="1:9" x14ac:dyDescent="0.2">
      <c r="B212" s="105">
        <f>B211+1</f>
        <v>12</v>
      </c>
      <c r="C212" s="105">
        <f t="shared" si="8"/>
        <v>15.75</v>
      </c>
      <c r="D212" s="105">
        <f t="shared" si="11"/>
        <v>15.75</v>
      </c>
      <c r="E212" s="105">
        <f t="shared" si="9"/>
        <v>0.10500000000000001</v>
      </c>
      <c r="F212" s="105">
        <f t="shared" si="10"/>
        <v>15.855</v>
      </c>
      <c r="G212" s="105">
        <f t="shared" si="12"/>
        <v>0</v>
      </c>
      <c r="I212" s="92" t="s">
        <v>3298</v>
      </c>
    </row>
    <row r="213" spans="1:9" x14ac:dyDescent="0.2">
      <c r="B213" s="105"/>
      <c r="C213" s="105"/>
      <c r="D213" s="105"/>
      <c r="E213" s="105"/>
      <c r="F213" s="105"/>
      <c r="G213" s="105"/>
      <c r="I213" s="92" t="s">
        <v>3299</v>
      </c>
    </row>
    <row r="214" spans="1:9" x14ac:dyDescent="0.2">
      <c r="B214" s="105"/>
      <c r="C214" s="105"/>
      <c r="D214" s="105"/>
      <c r="E214" s="105"/>
      <c r="F214" s="105"/>
      <c r="G214" s="105"/>
      <c r="I214" s="92" t="s">
        <v>3300</v>
      </c>
    </row>
    <row r="215" spans="1:9" x14ac:dyDescent="0.2">
      <c r="C215" s="175"/>
      <c r="D215" s="175"/>
      <c r="E215" s="175"/>
      <c r="F215" s="175"/>
      <c r="G215" s="175"/>
    </row>
    <row r="216" spans="1:9" x14ac:dyDescent="0.2">
      <c r="A216" s="93" t="s">
        <v>1508</v>
      </c>
      <c r="C216" s="175"/>
      <c r="D216" s="175"/>
      <c r="E216" s="175"/>
      <c r="F216" s="175"/>
      <c r="G216" s="175"/>
    </row>
    <row r="217" spans="1:9" x14ac:dyDescent="0.2">
      <c r="A217" s="92" t="s">
        <v>1509</v>
      </c>
      <c r="C217" s="175"/>
      <c r="D217" s="175"/>
      <c r="E217" s="175"/>
      <c r="F217" s="175"/>
      <c r="G217" s="175"/>
    </row>
    <row r="218" spans="1:9" x14ac:dyDescent="0.2">
      <c r="A218" s="92" t="s">
        <v>1510</v>
      </c>
      <c r="C218" s="175"/>
      <c r="D218" s="175"/>
      <c r="E218" s="175"/>
      <c r="F218" s="175"/>
      <c r="G218" s="175"/>
    </row>
    <row r="219" spans="1:9" x14ac:dyDescent="0.2">
      <c r="A219" s="92" t="s">
        <v>1511</v>
      </c>
      <c r="C219" s="175"/>
      <c r="D219" s="175"/>
      <c r="E219" s="175"/>
      <c r="F219" s="175"/>
      <c r="G219" s="175"/>
    </row>
    <row r="220" spans="1:9" x14ac:dyDescent="0.2">
      <c r="A220" s="92" t="s">
        <v>1512</v>
      </c>
      <c r="C220" s="175"/>
      <c r="D220" s="175"/>
      <c r="E220" s="175"/>
      <c r="F220" s="175"/>
      <c r="G220" s="175"/>
    </row>
    <row r="221" spans="1:9" x14ac:dyDescent="0.2">
      <c r="A221" s="92" t="s">
        <v>1513</v>
      </c>
      <c r="C221" s="175"/>
      <c r="D221" s="175"/>
      <c r="E221" s="175"/>
      <c r="F221" s="175"/>
      <c r="G221" s="175"/>
    </row>
    <row r="222" spans="1:9" x14ac:dyDescent="0.2">
      <c r="A222" s="92" t="s">
        <v>1514</v>
      </c>
      <c r="C222" s="175"/>
      <c r="D222" s="175"/>
      <c r="E222" s="175"/>
      <c r="F222" s="175"/>
      <c r="G222" s="175"/>
    </row>
    <row r="223" spans="1:9" x14ac:dyDescent="0.2">
      <c r="A223" s="92" t="s">
        <v>1515</v>
      </c>
      <c r="C223" s="175"/>
      <c r="D223" s="175"/>
      <c r="E223" s="175"/>
      <c r="F223" s="175"/>
      <c r="G223" s="175"/>
    </row>
    <row r="224" spans="1:9" x14ac:dyDescent="0.2">
      <c r="C224" s="175"/>
      <c r="D224" s="175"/>
      <c r="E224" s="175"/>
      <c r="F224" s="175"/>
      <c r="G224" s="175"/>
    </row>
    <row r="225" spans="1:10" x14ac:dyDescent="0.2">
      <c r="A225" s="167" t="s">
        <v>3301</v>
      </c>
      <c r="B225" s="133"/>
      <c r="C225" s="133"/>
      <c r="D225" s="133"/>
      <c r="E225" s="133"/>
      <c r="F225" s="133"/>
      <c r="G225" s="133"/>
      <c r="H225" s="133"/>
    </row>
    <row r="226" spans="1:10" x14ac:dyDescent="0.2">
      <c r="A226" s="92" t="s">
        <v>3302</v>
      </c>
    </row>
    <row r="227" spans="1:10" ht="17" thickBot="1" x14ac:dyDescent="0.25">
      <c r="A227" s="92" t="s">
        <v>3303</v>
      </c>
    </row>
    <row r="228" spans="1:10" x14ac:dyDescent="0.2">
      <c r="A228" s="92" t="s">
        <v>3304</v>
      </c>
      <c r="H228" s="103" t="s">
        <v>3311</v>
      </c>
      <c r="I228" s="96" t="s">
        <v>3307</v>
      </c>
      <c r="J228" s="97"/>
    </row>
    <row r="229" spans="1:10" ht="17" thickBot="1" x14ac:dyDescent="0.25">
      <c r="H229" s="100"/>
      <c r="I229" s="101" t="s">
        <v>3309</v>
      </c>
      <c r="J229" s="102"/>
    </row>
    <row r="230" spans="1:10" x14ac:dyDescent="0.2">
      <c r="B230" s="110" t="s">
        <v>1448</v>
      </c>
      <c r="C230" s="110" t="s">
        <v>3305</v>
      </c>
      <c r="D230" s="110" t="s">
        <v>1450</v>
      </c>
      <c r="E230" s="110" t="s">
        <v>1451</v>
      </c>
      <c r="F230" s="110" t="s">
        <v>1452</v>
      </c>
      <c r="G230" s="110" t="s">
        <v>3306</v>
      </c>
    </row>
    <row r="231" spans="1:10" x14ac:dyDescent="0.2">
      <c r="B231" s="105">
        <v>0</v>
      </c>
      <c r="C231" s="693"/>
      <c r="D231" s="693"/>
      <c r="E231" s="693"/>
      <c r="F231" s="693"/>
      <c r="G231" s="105">
        <v>5000</v>
      </c>
      <c r="H231" s="92" t="s">
        <v>3312</v>
      </c>
      <c r="I231" s="92" t="s">
        <v>3308</v>
      </c>
    </row>
    <row r="232" spans="1:10" x14ac:dyDescent="0.2">
      <c r="B232" s="105">
        <v>1</v>
      </c>
      <c r="C232" s="105">
        <f>G231</f>
        <v>5000</v>
      </c>
      <c r="D232" s="668">
        <f>5000/(3*12)</f>
        <v>138.88888888888889</v>
      </c>
      <c r="E232" s="105">
        <f>1%*C232</f>
        <v>50</v>
      </c>
      <c r="F232" s="668">
        <f>D232+E232</f>
        <v>188.88888888888889</v>
      </c>
      <c r="G232" s="668">
        <f>G231-D232</f>
        <v>4861.1111111111113</v>
      </c>
      <c r="I232" s="92" t="s">
        <v>3310</v>
      </c>
    </row>
    <row r="233" spans="1:10" x14ac:dyDescent="0.2">
      <c r="B233" s="105">
        <v>2</v>
      </c>
      <c r="C233" s="668">
        <f t="shared" ref="C233:C236" si="13">G232</f>
        <v>4861.1111111111113</v>
      </c>
      <c r="D233" s="668">
        <f>D232</f>
        <v>138.88888888888889</v>
      </c>
      <c r="E233" s="668">
        <f t="shared" ref="E233:E236" si="14">1%*C233</f>
        <v>48.611111111111114</v>
      </c>
      <c r="F233" s="668">
        <f t="shared" ref="F233:F236" si="15">D233+E233</f>
        <v>187.5</v>
      </c>
      <c r="G233" s="668">
        <f>G232-D233</f>
        <v>4722.2222222222226</v>
      </c>
    </row>
    <row r="234" spans="1:10" x14ac:dyDescent="0.2">
      <c r="B234" s="105">
        <v>3</v>
      </c>
      <c r="C234" s="668">
        <f t="shared" si="13"/>
        <v>4722.2222222222226</v>
      </c>
      <c r="D234" s="668">
        <f t="shared" ref="D234:D236" si="16">D233</f>
        <v>138.88888888888889</v>
      </c>
      <c r="E234" s="668">
        <f t="shared" si="14"/>
        <v>47.222222222222229</v>
      </c>
      <c r="F234" s="668">
        <f t="shared" si="15"/>
        <v>186.11111111111111</v>
      </c>
      <c r="G234" s="668">
        <f t="shared" ref="G234:G236" si="17">G233-D234</f>
        <v>4583.3333333333339</v>
      </c>
    </row>
    <row r="235" spans="1:10" x14ac:dyDescent="0.2">
      <c r="B235" s="105">
        <v>4</v>
      </c>
      <c r="C235" s="668">
        <f t="shared" si="13"/>
        <v>4583.3333333333339</v>
      </c>
      <c r="D235" s="668">
        <f t="shared" si="16"/>
        <v>138.88888888888889</v>
      </c>
      <c r="E235" s="668">
        <f t="shared" si="14"/>
        <v>45.833333333333343</v>
      </c>
      <c r="F235" s="668">
        <f t="shared" si="15"/>
        <v>184.72222222222223</v>
      </c>
      <c r="G235" s="668">
        <f t="shared" si="17"/>
        <v>4444.4444444444453</v>
      </c>
    </row>
    <row r="236" spans="1:10" x14ac:dyDescent="0.2">
      <c r="B236" s="105">
        <v>5</v>
      </c>
      <c r="C236" s="668">
        <f t="shared" si="13"/>
        <v>4444.4444444444453</v>
      </c>
      <c r="D236" s="668">
        <f t="shared" si="16"/>
        <v>138.88888888888889</v>
      </c>
      <c r="E236" s="668">
        <f t="shared" si="14"/>
        <v>44.44444444444445</v>
      </c>
      <c r="F236" s="668">
        <f t="shared" si="15"/>
        <v>183.33333333333334</v>
      </c>
      <c r="G236" s="668">
        <f t="shared" si="17"/>
        <v>4305.5555555555566</v>
      </c>
    </row>
    <row r="237" spans="1:10" x14ac:dyDescent="0.2">
      <c r="D237" s="105"/>
    </row>
    <row r="238" spans="1:10" x14ac:dyDescent="0.2">
      <c r="D238" s="92" t="s">
        <v>3313</v>
      </c>
      <c r="E238" s="92" t="s">
        <v>3319</v>
      </c>
    </row>
    <row r="239" spans="1:10" x14ac:dyDescent="0.2">
      <c r="D239" s="92" t="s">
        <v>3314</v>
      </c>
      <c r="E239" s="92" t="s">
        <v>3320</v>
      </c>
    </row>
    <row r="240" spans="1:10" x14ac:dyDescent="0.2">
      <c r="D240" s="92" t="s">
        <v>1505</v>
      </c>
    </row>
    <row r="241" spans="1:8" x14ac:dyDescent="0.2">
      <c r="D241" s="92" t="s">
        <v>3315</v>
      </c>
    </row>
    <row r="242" spans="1:8" x14ac:dyDescent="0.2">
      <c r="D242" s="92" t="s">
        <v>3316</v>
      </c>
    </row>
    <row r="243" spans="1:8" x14ac:dyDescent="0.2">
      <c r="D243" s="93" t="s">
        <v>3317</v>
      </c>
    </row>
    <row r="244" spans="1:8" x14ac:dyDescent="0.2">
      <c r="D244" s="92" t="s">
        <v>3318</v>
      </c>
    </row>
    <row r="252" spans="1:8" x14ac:dyDescent="0.2">
      <c r="A252" s="167" t="s">
        <v>1516</v>
      </c>
      <c r="B252" s="167"/>
      <c r="C252" s="167"/>
      <c r="D252" s="167"/>
      <c r="E252" s="167"/>
      <c r="F252" s="167"/>
      <c r="G252" s="167"/>
      <c r="H252" s="167"/>
    </row>
    <row r="253" spans="1:8" x14ac:dyDescent="0.2">
      <c r="A253" s="92" t="s">
        <v>1517</v>
      </c>
    </row>
    <row r="254" spans="1:8" x14ac:dyDescent="0.2">
      <c r="A254" s="92" t="s">
        <v>1518</v>
      </c>
    </row>
    <row r="255" spans="1:8" x14ac:dyDescent="0.2">
      <c r="A255" s="92" t="s">
        <v>1519</v>
      </c>
    </row>
    <row r="257" spans="1:11" x14ac:dyDescent="0.2">
      <c r="A257" s="92" t="s">
        <v>1520</v>
      </c>
    </row>
    <row r="258" spans="1:11" ht="17" thickBot="1" x14ac:dyDescent="0.25">
      <c r="A258" s="92" t="s">
        <v>1521</v>
      </c>
    </row>
    <row r="259" spans="1:11" x14ac:dyDescent="0.2">
      <c r="A259" s="92" t="s">
        <v>1522</v>
      </c>
      <c r="G259" s="497" t="s">
        <v>1523</v>
      </c>
      <c r="H259" s="498"/>
      <c r="I259" s="498"/>
      <c r="J259" s="499">
        <f>C262</f>
        <v>3.0000000000000027E-2</v>
      </c>
      <c r="K259" s="500" t="s">
        <v>87</v>
      </c>
    </row>
    <row r="260" spans="1:11" x14ac:dyDescent="0.2">
      <c r="G260" s="501" t="s">
        <v>1524</v>
      </c>
      <c r="H260" s="502"/>
      <c r="I260" s="502"/>
      <c r="J260" s="502">
        <v>12</v>
      </c>
      <c r="K260" s="503" t="s">
        <v>89</v>
      </c>
    </row>
    <row r="261" spans="1:11" x14ac:dyDescent="0.2">
      <c r="G261" s="501" t="s">
        <v>1505</v>
      </c>
      <c r="H261" s="502"/>
      <c r="I261" s="502"/>
      <c r="J261" s="502">
        <v>500000</v>
      </c>
      <c r="K261" s="503" t="s">
        <v>281</v>
      </c>
    </row>
    <row r="262" spans="1:11" x14ac:dyDescent="0.2">
      <c r="C262" s="496">
        <f>1.12550881^0.25-1</f>
        <v>3.0000000000000027E-2</v>
      </c>
      <c r="G262" s="501" t="s">
        <v>1525</v>
      </c>
      <c r="H262" s="502"/>
      <c r="I262" s="502"/>
      <c r="J262" s="508">
        <f>PMT(J259,J260,J261,J263)</f>
        <v>-50231.042736481526</v>
      </c>
      <c r="K262" s="503" t="s">
        <v>91</v>
      </c>
    </row>
    <row r="263" spans="1:11" ht="17" thickBot="1" x14ac:dyDescent="0.25">
      <c r="G263" s="504" t="s">
        <v>1526</v>
      </c>
      <c r="H263" s="505"/>
      <c r="I263" s="505"/>
      <c r="J263" s="505">
        <v>0</v>
      </c>
      <c r="K263" s="506" t="s">
        <v>105</v>
      </c>
    </row>
    <row r="264" spans="1:11" x14ac:dyDescent="0.2">
      <c r="D264" s="105" t="s">
        <v>1490</v>
      </c>
      <c r="E264" s="105" t="s">
        <v>1491</v>
      </c>
      <c r="F264" s="105" t="s">
        <v>91</v>
      </c>
      <c r="G264" s="105" t="s">
        <v>281</v>
      </c>
    </row>
    <row r="265" spans="1:11" x14ac:dyDescent="0.2">
      <c r="D265" s="172" t="s">
        <v>1467</v>
      </c>
      <c r="E265" s="172" t="s">
        <v>1527</v>
      </c>
      <c r="F265" s="172" t="s">
        <v>1469</v>
      </c>
      <c r="G265" s="172" t="s">
        <v>1470</v>
      </c>
    </row>
    <row r="266" spans="1:11" x14ac:dyDescent="0.2">
      <c r="B266" s="169" t="s">
        <v>1448</v>
      </c>
      <c r="C266" s="169" t="s">
        <v>1449</v>
      </c>
      <c r="D266" s="169" t="s">
        <v>1450</v>
      </c>
      <c r="E266" s="169" t="s">
        <v>1451</v>
      </c>
      <c r="F266" s="169" t="s">
        <v>1452</v>
      </c>
      <c r="G266" s="169" t="s">
        <v>1453</v>
      </c>
    </row>
    <row r="267" spans="1:11" x14ac:dyDescent="0.2">
      <c r="B267" s="168">
        <v>0</v>
      </c>
      <c r="C267" s="170"/>
      <c r="D267" s="170"/>
      <c r="E267" s="170"/>
      <c r="F267" s="170"/>
      <c r="G267" s="171">
        <f>J261</f>
        <v>500000</v>
      </c>
      <c r="H267" s="112"/>
    </row>
    <row r="268" spans="1:11" x14ac:dyDescent="0.2">
      <c r="B268" s="168">
        <f>B267+1</f>
        <v>1</v>
      </c>
      <c r="C268" s="173">
        <f>J261</f>
        <v>500000</v>
      </c>
      <c r="D268" s="173">
        <f>F268-E268</f>
        <v>35231.042736481511</v>
      </c>
      <c r="E268" s="173">
        <f>C268*$J$259</f>
        <v>15000.000000000013</v>
      </c>
      <c r="F268" s="507">
        <f>-J262</f>
        <v>50231.042736481526</v>
      </c>
      <c r="G268" s="171">
        <f>C268-D268</f>
        <v>464768.95726351847</v>
      </c>
      <c r="H268" s="112"/>
    </row>
    <row r="269" spans="1:11" x14ac:dyDescent="0.2">
      <c r="B269" s="168">
        <f t="shared" ref="B269:B279" si="18">B268+1</f>
        <v>2</v>
      </c>
      <c r="C269" s="173">
        <f>G268</f>
        <v>464768.95726351847</v>
      </c>
      <c r="D269" s="173">
        <f t="shared" ref="D269:D279" si="19">F269-E269</f>
        <v>36287.974018575958</v>
      </c>
      <c r="E269" s="173">
        <f t="shared" ref="E269:E279" si="20">C269*$J$259</f>
        <v>13943.068717905566</v>
      </c>
      <c r="F269" s="173">
        <f>F268</f>
        <v>50231.042736481526</v>
      </c>
      <c r="G269" s="171">
        <f t="shared" ref="G269:G279" si="21">C269-D269</f>
        <v>428480.9832449425</v>
      </c>
      <c r="H269" s="112"/>
    </row>
    <row r="270" spans="1:11" x14ac:dyDescent="0.2">
      <c r="B270" s="168">
        <f t="shared" si="18"/>
        <v>3</v>
      </c>
      <c r="C270" s="173">
        <f t="shared" ref="C270:C279" si="22">G269</f>
        <v>428480.9832449425</v>
      </c>
      <c r="D270" s="173">
        <f t="shared" si="19"/>
        <v>37376.613239133236</v>
      </c>
      <c r="E270" s="173">
        <f t="shared" si="20"/>
        <v>12854.429497348287</v>
      </c>
      <c r="F270" s="173">
        <f t="shared" ref="F270:F279" si="23">F269</f>
        <v>50231.042736481526</v>
      </c>
      <c r="G270" s="171">
        <f t="shared" si="21"/>
        <v>391104.37000580924</v>
      </c>
      <c r="H270" s="112"/>
    </row>
    <row r="271" spans="1:11" x14ac:dyDescent="0.2">
      <c r="B271" s="168">
        <f t="shared" si="18"/>
        <v>4</v>
      </c>
      <c r="C271" s="173">
        <f t="shared" si="22"/>
        <v>391104.37000580924</v>
      </c>
      <c r="D271" s="173">
        <f t="shared" si="19"/>
        <v>38497.911636307239</v>
      </c>
      <c r="E271" s="173">
        <f t="shared" si="20"/>
        <v>11733.131100174287</v>
      </c>
      <c r="F271" s="173">
        <f t="shared" si="23"/>
        <v>50231.042736481526</v>
      </c>
      <c r="G271" s="171">
        <f t="shared" si="21"/>
        <v>352606.45836950198</v>
      </c>
      <c r="H271" s="112"/>
    </row>
    <row r="272" spans="1:11" x14ac:dyDescent="0.2">
      <c r="B272" s="168">
        <f t="shared" si="18"/>
        <v>5</v>
      </c>
      <c r="C272" s="173">
        <f t="shared" si="22"/>
        <v>352606.45836950198</v>
      </c>
      <c r="D272" s="173">
        <f t="shared" si="19"/>
        <v>39652.848985396457</v>
      </c>
      <c r="E272" s="173">
        <f t="shared" si="20"/>
        <v>10578.193751085069</v>
      </c>
      <c r="F272" s="173">
        <f t="shared" si="23"/>
        <v>50231.042736481526</v>
      </c>
      <c r="G272" s="171">
        <f t="shared" si="21"/>
        <v>312953.60938410554</v>
      </c>
      <c r="H272" s="112"/>
    </row>
    <row r="273" spans="1:8" x14ac:dyDescent="0.2">
      <c r="B273" s="168">
        <f t="shared" si="18"/>
        <v>6</v>
      </c>
      <c r="C273" s="173">
        <f t="shared" si="22"/>
        <v>312953.60938410554</v>
      </c>
      <c r="D273" s="173">
        <f t="shared" si="19"/>
        <v>40842.434454958347</v>
      </c>
      <c r="E273" s="173">
        <f t="shared" si="20"/>
        <v>9388.6082815231748</v>
      </c>
      <c r="F273" s="173">
        <f t="shared" si="23"/>
        <v>50231.042736481526</v>
      </c>
      <c r="G273" s="171">
        <f t="shared" si="21"/>
        <v>272111.17492914718</v>
      </c>
      <c r="H273" s="112"/>
    </row>
    <row r="274" spans="1:8" x14ac:dyDescent="0.2">
      <c r="B274" s="168">
        <f t="shared" si="18"/>
        <v>7</v>
      </c>
      <c r="C274" s="173">
        <f t="shared" si="22"/>
        <v>272111.17492914718</v>
      </c>
      <c r="D274" s="173">
        <f t="shared" si="19"/>
        <v>42067.707488607106</v>
      </c>
      <c r="E274" s="173">
        <f t="shared" si="20"/>
        <v>8163.3352478744227</v>
      </c>
      <c r="F274" s="173">
        <f t="shared" si="23"/>
        <v>50231.042736481526</v>
      </c>
      <c r="G274" s="171">
        <f t="shared" si="21"/>
        <v>230043.46744054009</v>
      </c>
      <c r="H274" s="112"/>
    </row>
    <row r="275" spans="1:8" x14ac:dyDescent="0.2">
      <c r="B275" s="168">
        <f t="shared" si="18"/>
        <v>8</v>
      </c>
      <c r="C275" s="173">
        <f t="shared" si="22"/>
        <v>230043.46744054009</v>
      </c>
      <c r="D275" s="173">
        <f t="shared" si="19"/>
        <v>43329.738713265317</v>
      </c>
      <c r="E275" s="173">
        <f t="shared" si="20"/>
        <v>6901.3040232162084</v>
      </c>
      <c r="F275" s="173">
        <f t="shared" si="23"/>
        <v>50231.042736481526</v>
      </c>
      <c r="G275" s="171">
        <f t="shared" si="21"/>
        <v>186713.72872727478</v>
      </c>
      <c r="H275" s="112"/>
    </row>
    <row r="276" spans="1:8" x14ac:dyDescent="0.2">
      <c r="B276" s="168">
        <f t="shared" si="18"/>
        <v>9</v>
      </c>
      <c r="C276" s="173">
        <f t="shared" si="22"/>
        <v>186713.72872727478</v>
      </c>
      <c r="D276" s="173">
        <f t="shared" si="19"/>
        <v>44629.630874663279</v>
      </c>
      <c r="E276" s="173">
        <f t="shared" si="20"/>
        <v>5601.4118618182483</v>
      </c>
      <c r="F276" s="173">
        <f t="shared" si="23"/>
        <v>50231.042736481526</v>
      </c>
      <c r="G276" s="171">
        <f t="shared" si="21"/>
        <v>142084.09785261151</v>
      </c>
      <c r="H276" s="112"/>
    </row>
    <row r="277" spans="1:8" x14ac:dyDescent="0.2">
      <c r="B277" s="168">
        <f t="shared" si="18"/>
        <v>10</v>
      </c>
      <c r="C277" s="173">
        <f t="shared" si="22"/>
        <v>142084.09785261151</v>
      </c>
      <c r="D277" s="173">
        <f t="shared" si="19"/>
        <v>45968.519800903174</v>
      </c>
      <c r="E277" s="173">
        <f t="shared" si="20"/>
        <v>4262.5229355783486</v>
      </c>
      <c r="F277" s="173">
        <f t="shared" si="23"/>
        <v>50231.042736481526</v>
      </c>
      <c r="G277" s="171">
        <f t="shared" si="21"/>
        <v>96115.578051708333</v>
      </c>
      <c r="H277" s="112"/>
    </row>
    <row r="278" spans="1:8" x14ac:dyDescent="0.2">
      <c r="B278" s="168">
        <f t="shared" si="18"/>
        <v>11</v>
      </c>
      <c r="C278" s="173">
        <f t="shared" si="22"/>
        <v>96115.578051708333</v>
      </c>
      <c r="D278" s="173">
        <f t="shared" si="19"/>
        <v>47347.575394930274</v>
      </c>
      <c r="E278" s="173">
        <f t="shared" si="20"/>
        <v>2883.4673415512525</v>
      </c>
      <c r="F278" s="173">
        <f t="shared" si="23"/>
        <v>50231.042736481526</v>
      </c>
      <c r="G278" s="171">
        <f t="shared" si="21"/>
        <v>48768.002656778059</v>
      </c>
      <c r="H278" s="112"/>
    </row>
    <row r="279" spans="1:8" x14ac:dyDescent="0.2">
      <c r="B279" s="168">
        <f t="shared" si="18"/>
        <v>12</v>
      </c>
      <c r="C279" s="173">
        <f t="shared" si="22"/>
        <v>48768.002656778059</v>
      </c>
      <c r="D279" s="173">
        <f t="shared" si="19"/>
        <v>48768.002656778182</v>
      </c>
      <c r="E279" s="173">
        <f t="shared" si="20"/>
        <v>1463.0400797033431</v>
      </c>
      <c r="F279" s="173">
        <f t="shared" si="23"/>
        <v>50231.042736481526</v>
      </c>
      <c r="G279" s="171">
        <f t="shared" si="21"/>
        <v>-1.2369127944111824E-10</v>
      </c>
      <c r="H279" s="112"/>
    </row>
    <row r="281" spans="1:8" x14ac:dyDescent="0.2">
      <c r="A281" s="167" t="s">
        <v>1528</v>
      </c>
      <c r="B281" s="167"/>
      <c r="C281" s="167"/>
      <c r="D281" s="167"/>
      <c r="E281" s="167"/>
      <c r="F281" s="167"/>
      <c r="G281" s="167"/>
      <c r="H281" s="167"/>
    </row>
    <row r="282" spans="1:8" x14ac:dyDescent="0.2">
      <c r="A282" s="92" t="s">
        <v>1529</v>
      </c>
    </row>
    <row r="283" spans="1:8" x14ac:dyDescent="0.2">
      <c r="A283" s="92" t="s">
        <v>1530</v>
      </c>
    </row>
    <row r="284" spans="1:8" x14ac:dyDescent="0.2">
      <c r="A284" s="92" t="s">
        <v>321</v>
      </c>
    </row>
    <row r="285" spans="1:8" x14ac:dyDescent="0.2">
      <c r="A285" s="92" t="s">
        <v>1474</v>
      </c>
    </row>
    <row r="286" spans="1:8" x14ac:dyDescent="0.2">
      <c r="A286" s="92" t="s">
        <v>1531</v>
      </c>
    </row>
    <row r="287" spans="1:8" x14ac:dyDescent="0.2">
      <c r="A287" s="92" t="s">
        <v>1532</v>
      </c>
    </row>
    <row r="288" spans="1:8" x14ac:dyDescent="0.2">
      <c r="A288" s="92" t="s">
        <v>1533</v>
      </c>
    </row>
    <row r="290" spans="1:8" x14ac:dyDescent="0.2">
      <c r="A290" s="92" t="s">
        <v>1534</v>
      </c>
      <c r="B290" s="92" t="s">
        <v>611</v>
      </c>
      <c r="C290" s="174">
        <f>-PMT(0.7%,20*12,300000,0)</f>
        <v>2584.513486051419</v>
      </c>
    </row>
    <row r="291" spans="1:8" x14ac:dyDescent="0.2">
      <c r="B291" s="92" t="s">
        <v>610</v>
      </c>
      <c r="C291" s="174">
        <f>-PPMT(0.7%,39,20*12,300000,0)</f>
        <v>631.57619262370019</v>
      </c>
    </row>
    <row r="292" spans="1:8" x14ac:dyDescent="0.2">
      <c r="B292" s="92" t="s">
        <v>1371</v>
      </c>
      <c r="C292" s="174">
        <f>-IPMT(0.7%,52,20*12,300000,0)</f>
        <v>1892.9869213033057</v>
      </c>
    </row>
    <row r="293" spans="1:8" x14ac:dyDescent="0.2">
      <c r="B293" s="92" t="s">
        <v>1373</v>
      </c>
      <c r="C293" s="174">
        <f>PV(0.7%,20*12-74,-C290,0)</f>
        <v>253234.73111197984</v>
      </c>
    </row>
    <row r="295" spans="1:8" x14ac:dyDescent="0.2">
      <c r="A295" s="167" t="s">
        <v>1535</v>
      </c>
      <c r="B295" s="167"/>
      <c r="C295" s="167"/>
      <c r="D295" s="167"/>
      <c r="E295" s="167"/>
      <c r="F295" s="167"/>
      <c r="G295" s="167"/>
      <c r="H295" s="167"/>
    </row>
    <row r="296" spans="1:8" x14ac:dyDescent="0.2">
      <c r="A296" s="92" t="s">
        <v>1536</v>
      </c>
    </row>
    <row r="297" spans="1:8" x14ac:dyDescent="0.2">
      <c r="A297" s="92" t="s">
        <v>1537</v>
      </c>
    </row>
    <row r="298" spans="1:8" x14ac:dyDescent="0.2">
      <c r="A298" s="92" t="s">
        <v>321</v>
      </c>
    </row>
    <row r="299" spans="1:8" x14ac:dyDescent="0.2">
      <c r="A299" s="92" t="s">
        <v>1538</v>
      </c>
    </row>
    <row r="300" spans="1:8" x14ac:dyDescent="0.2">
      <c r="A300" s="92" t="s">
        <v>1539</v>
      </c>
    </row>
    <row r="301" spans="1:8" x14ac:dyDescent="0.2">
      <c r="A301" s="92" t="s">
        <v>1540</v>
      </c>
    </row>
    <row r="302" spans="1:8" x14ac:dyDescent="0.2">
      <c r="A302" s="92" t="s">
        <v>1541</v>
      </c>
    </row>
    <row r="304" spans="1:8" x14ac:dyDescent="0.2">
      <c r="A304" s="92" t="s">
        <v>1542</v>
      </c>
    </row>
    <row r="306" spans="1:8" x14ac:dyDescent="0.2">
      <c r="C306" s="172" t="s">
        <v>1467</v>
      </c>
      <c r="D306" s="172" t="s">
        <v>1527</v>
      </c>
      <c r="E306" s="172" t="s">
        <v>1469</v>
      </c>
      <c r="F306" s="172" t="s">
        <v>1470</v>
      </c>
    </row>
    <row r="307" spans="1:8" x14ac:dyDescent="0.2">
      <c r="A307" s="169" t="s">
        <v>1448</v>
      </c>
      <c r="B307" s="169" t="s">
        <v>1449</v>
      </c>
      <c r="C307" s="169" t="s">
        <v>1450</v>
      </c>
      <c r="D307" s="169" t="s">
        <v>1451</v>
      </c>
      <c r="E307" s="169" t="s">
        <v>1452</v>
      </c>
      <c r="F307" s="169" t="s">
        <v>1453</v>
      </c>
    </row>
    <row r="308" spans="1:8" x14ac:dyDescent="0.2">
      <c r="A308" s="168">
        <v>0</v>
      </c>
      <c r="B308" s="170"/>
      <c r="C308" s="170"/>
      <c r="D308" s="170"/>
      <c r="E308" s="170"/>
      <c r="F308" s="171">
        <v>200000</v>
      </c>
    </row>
    <row r="309" spans="1:8" x14ac:dyDescent="0.2">
      <c r="A309" s="168">
        <f>A308+1</f>
        <v>1</v>
      </c>
      <c r="B309" s="171">
        <f>F308</f>
        <v>200000</v>
      </c>
      <c r="C309" s="176">
        <f>F308/10</f>
        <v>20000</v>
      </c>
      <c r="D309" s="171">
        <f>B309*7%</f>
        <v>14000.000000000002</v>
      </c>
      <c r="E309" s="171">
        <f>C309+D309</f>
        <v>34000</v>
      </c>
      <c r="F309" s="171">
        <f>B309-C309</f>
        <v>180000</v>
      </c>
      <c r="G309" s="92" t="s">
        <v>1543</v>
      </c>
    </row>
    <row r="310" spans="1:8" x14ac:dyDescent="0.2">
      <c r="A310" s="168">
        <f t="shared" ref="A310:A318" si="24">A309+1</f>
        <v>2</v>
      </c>
      <c r="B310" s="171">
        <f t="shared" ref="B310:B318" si="25">F309</f>
        <v>180000</v>
      </c>
      <c r="C310" s="171">
        <f>C309</f>
        <v>20000</v>
      </c>
      <c r="D310" s="171">
        <f t="shared" ref="D310:D313" si="26">B310*7%</f>
        <v>12600.000000000002</v>
      </c>
      <c r="E310" s="171">
        <f t="shared" ref="E310:E318" si="27">C310+D310</f>
        <v>32600</v>
      </c>
      <c r="F310" s="171">
        <f t="shared" ref="F310:F314" si="28">B310-C310</f>
        <v>160000</v>
      </c>
    </row>
    <row r="311" spans="1:8" x14ac:dyDescent="0.2">
      <c r="A311" s="168">
        <f t="shared" si="24"/>
        <v>3</v>
      </c>
      <c r="B311" s="171">
        <f t="shared" si="25"/>
        <v>160000</v>
      </c>
      <c r="C311" s="171">
        <f t="shared" ref="C311:C318" si="29">C310</f>
        <v>20000</v>
      </c>
      <c r="D311" s="171">
        <f t="shared" si="26"/>
        <v>11200.000000000002</v>
      </c>
      <c r="E311" s="171">
        <f t="shared" si="27"/>
        <v>31200</v>
      </c>
      <c r="F311" s="171">
        <f t="shared" si="28"/>
        <v>140000</v>
      </c>
    </row>
    <row r="312" spans="1:8" x14ac:dyDescent="0.2">
      <c r="A312" s="168">
        <f t="shared" si="24"/>
        <v>4</v>
      </c>
      <c r="B312" s="171">
        <f t="shared" si="25"/>
        <v>140000</v>
      </c>
      <c r="C312" s="171">
        <f t="shared" si="29"/>
        <v>20000</v>
      </c>
      <c r="D312" s="171">
        <f t="shared" si="26"/>
        <v>9800.0000000000018</v>
      </c>
      <c r="E312" s="171">
        <f t="shared" si="27"/>
        <v>29800</v>
      </c>
      <c r="F312" s="171">
        <f t="shared" si="28"/>
        <v>120000</v>
      </c>
    </row>
    <row r="313" spans="1:8" x14ac:dyDescent="0.2">
      <c r="A313" s="168">
        <f t="shared" si="24"/>
        <v>5</v>
      </c>
      <c r="B313" s="171">
        <f t="shared" si="25"/>
        <v>120000</v>
      </c>
      <c r="C313" s="171">
        <f t="shared" si="29"/>
        <v>20000</v>
      </c>
      <c r="D313" s="171">
        <f t="shared" si="26"/>
        <v>8400</v>
      </c>
      <c r="E313" s="171">
        <f t="shared" si="27"/>
        <v>28400</v>
      </c>
      <c r="F313" s="171">
        <f t="shared" si="28"/>
        <v>100000</v>
      </c>
    </row>
    <row r="314" spans="1:8" x14ac:dyDescent="0.2">
      <c r="A314" s="168">
        <f t="shared" si="24"/>
        <v>6</v>
      </c>
      <c r="B314" s="171">
        <f t="shared" si="25"/>
        <v>100000</v>
      </c>
      <c r="C314" s="171">
        <f t="shared" si="29"/>
        <v>20000</v>
      </c>
      <c r="D314" s="176">
        <f>B314*7%</f>
        <v>7000.0000000000009</v>
      </c>
      <c r="E314" s="171">
        <f t="shared" si="27"/>
        <v>27000</v>
      </c>
      <c r="F314" s="171">
        <f t="shared" si="28"/>
        <v>80000</v>
      </c>
      <c r="G314" s="92" t="s">
        <v>1544</v>
      </c>
    </row>
    <row r="315" spans="1:8" x14ac:dyDescent="0.2">
      <c r="A315" s="168">
        <f t="shared" si="24"/>
        <v>7</v>
      </c>
      <c r="B315" s="171">
        <f t="shared" si="25"/>
        <v>80000</v>
      </c>
      <c r="C315" s="171">
        <f t="shared" si="29"/>
        <v>20000</v>
      </c>
      <c r="D315" s="171">
        <f>B315*7%</f>
        <v>5600.0000000000009</v>
      </c>
      <c r="E315" s="171">
        <f t="shared" si="27"/>
        <v>25600</v>
      </c>
      <c r="F315" s="176">
        <f>B315-C315</f>
        <v>60000</v>
      </c>
      <c r="G315" s="92" t="s">
        <v>1545</v>
      </c>
    </row>
    <row r="316" spans="1:8" x14ac:dyDescent="0.2">
      <c r="A316" s="168">
        <f t="shared" si="24"/>
        <v>8</v>
      </c>
      <c r="B316" s="171">
        <f t="shared" si="25"/>
        <v>60000</v>
      </c>
      <c r="C316" s="171">
        <f t="shared" si="29"/>
        <v>20000</v>
      </c>
      <c r="D316" s="171">
        <f t="shared" ref="D316:D318" si="30">B316*7%</f>
        <v>4200</v>
      </c>
      <c r="E316" s="171">
        <f t="shared" si="27"/>
        <v>24200</v>
      </c>
      <c r="F316" s="171">
        <f>B316-C316</f>
        <v>40000</v>
      </c>
    </row>
    <row r="317" spans="1:8" x14ac:dyDescent="0.2">
      <c r="A317" s="168">
        <f t="shared" si="24"/>
        <v>9</v>
      </c>
      <c r="B317" s="171">
        <f t="shared" si="25"/>
        <v>40000</v>
      </c>
      <c r="C317" s="171">
        <f t="shared" si="29"/>
        <v>20000</v>
      </c>
      <c r="D317" s="171">
        <f t="shared" si="30"/>
        <v>2800.0000000000005</v>
      </c>
      <c r="E317" s="171">
        <f t="shared" si="27"/>
        <v>22800</v>
      </c>
      <c r="F317" s="171">
        <f t="shared" ref="F317:F318" si="31">B317-C317</f>
        <v>20000</v>
      </c>
    </row>
    <row r="318" spans="1:8" x14ac:dyDescent="0.2">
      <c r="A318" s="168">
        <f t="shared" si="24"/>
        <v>10</v>
      </c>
      <c r="B318" s="171">
        <f t="shared" si="25"/>
        <v>20000</v>
      </c>
      <c r="C318" s="171">
        <f t="shared" si="29"/>
        <v>20000</v>
      </c>
      <c r="D318" s="171">
        <f t="shared" si="30"/>
        <v>1400.0000000000002</v>
      </c>
      <c r="E318" s="171">
        <f t="shared" si="27"/>
        <v>21400</v>
      </c>
      <c r="F318" s="171">
        <f t="shared" si="31"/>
        <v>0</v>
      </c>
    </row>
    <row r="320" spans="1:8" x14ac:dyDescent="0.2">
      <c r="A320" s="167" t="s">
        <v>1546</v>
      </c>
      <c r="B320" s="167"/>
      <c r="C320" s="167"/>
      <c r="D320" s="167"/>
      <c r="E320" s="167"/>
      <c r="F320" s="167"/>
      <c r="G320" s="167"/>
      <c r="H320" s="167"/>
    </row>
    <row r="321" spans="1:5" x14ac:dyDescent="0.2">
      <c r="A321" s="92" t="s">
        <v>1547</v>
      </c>
    </row>
    <row r="322" spans="1:5" x14ac:dyDescent="0.2">
      <c r="A322" s="92" t="s">
        <v>1548</v>
      </c>
    </row>
    <row r="323" spans="1:5" x14ac:dyDescent="0.2">
      <c r="A323" s="92" t="s">
        <v>321</v>
      </c>
    </row>
    <row r="324" spans="1:5" x14ac:dyDescent="0.2">
      <c r="A324" s="92" t="s">
        <v>1549</v>
      </c>
    </row>
    <row r="325" spans="1:5" x14ac:dyDescent="0.2">
      <c r="A325" s="92" t="s">
        <v>1550</v>
      </c>
    </row>
    <row r="326" spans="1:5" x14ac:dyDescent="0.2">
      <c r="A326" s="92" t="s">
        <v>1551</v>
      </c>
    </row>
    <row r="327" spans="1:5" x14ac:dyDescent="0.2">
      <c r="A327" s="92" t="s">
        <v>1552</v>
      </c>
    </row>
    <row r="328" spans="1:5" x14ac:dyDescent="0.2">
      <c r="A328" s="92" t="s">
        <v>1553</v>
      </c>
    </row>
    <row r="330" spans="1:5" x14ac:dyDescent="0.2">
      <c r="A330" s="92" t="s">
        <v>111</v>
      </c>
    </row>
    <row r="332" spans="1:5" x14ac:dyDescent="0.2">
      <c r="A332" s="92" t="s">
        <v>1071</v>
      </c>
      <c r="D332" s="132">
        <v>0.08</v>
      </c>
      <c r="E332" s="92" t="s">
        <v>368</v>
      </c>
    </row>
    <row r="333" spans="1:5" x14ac:dyDescent="0.2">
      <c r="D333" s="92">
        <f>6</f>
        <v>6</v>
      </c>
      <c r="E333" s="92" t="s">
        <v>89</v>
      </c>
    </row>
    <row r="334" spans="1:5" x14ac:dyDescent="0.2">
      <c r="D334" s="92">
        <v>500000</v>
      </c>
      <c r="E334" s="92" t="s">
        <v>281</v>
      </c>
    </row>
    <row r="335" spans="1:5" x14ac:dyDescent="0.2">
      <c r="D335" s="254">
        <f>PMT(D332,D333,D334,D336)</f>
        <v>-108157.69311450492</v>
      </c>
      <c r="E335" s="92" t="s">
        <v>91</v>
      </c>
    </row>
    <row r="336" spans="1:5" x14ac:dyDescent="0.2">
      <c r="D336" s="92">
        <v>0</v>
      </c>
      <c r="E336" s="92" t="s">
        <v>105</v>
      </c>
    </row>
    <row r="339" spans="1:7" x14ac:dyDescent="0.2">
      <c r="A339" s="92" t="s">
        <v>696</v>
      </c>
      <c r="B339" s="92" t="s">
        <v>564</v>
      </c>
      <c r="C339" s="92" t="s">
        <v>1449</v>
      </c>
      <c r="D339" s="92" t="s">
        <v>1450</v>
      </c>
      <c r="E339" s="92" t="s">
        <v>1451</v>
      </c>
      <c r="F339" s="92" t="s">
        <v>1452</v>
      </c>
      <c r="G339" s="92" t="s">
        <v>1453</v>
      </c>
    </row>
    <row r="340" spans="1:7" x14ac:dyDescent="0.2">
      <c r="B340" s="92">
        <v>0</v>
      </c>
      <c r="G340" s="92">
        <v>500000</v>
      </c>
    </row>
    <row r="341" spans="1:7" x14ac:dyDescent="0.2">
      <c r="B341" s="92">
        <f>B340+1</f>
        <v>1</v>
      </c>
      <c r="C341" s="92">
        <f>G340</f>
        <v>500000</v>
      </c>
      <c r="D341" s="109">
        <f>F341-E341</f>
        <v>68157.693114504917</v>
      </c>
      <c r="E341" s="92">
        <f>G340*$D$332</f>
        <v>40000</v>
      </c>
      <c r="F341" s="109">
        <f>-D335</f>
        <v>108157.69311450492</v>
      </c>
      <c r="G341" s="109">
        <f>C341-D341</f>
        <v>431842.30688549508</v>
      </c>
    </row>
    <row r="342" spans="1:7" x14ac:dyDescent="0.2">
      <c r="B342" s="92">
        <f t="shared" ref="B342:B346" si="32">B341+1</f>
        <v>2</v>
      </c>
      <c r="C342" s="509">
        <f t="shared" ref="C342:C346" si="33">G341</f>
        <v>431842.30688549508</v>
      </c>
      <c r="D342" s="109">
        <f t="shared" ref="D342:D346" si="34">F342-E342</f>
        <v>73610.308563665312</v>
      </c>
      <c r="E342" s="509">
        <f t="shared" ref="E342:E346" si="35">G341*$D$332</f>
        <v>34547.384550839604</v>
      </c>
      <c r="F342" s="109">
        <f>F341</f>
        <v>108157.69311450492</v>
      </c>
      <c r="G342" s="109">
        <f t="shared" ref="G342:G346" si="36">C342-D342</f>
        <v>358231.99832182977</v>
      </c>
    </row>
    <row r="343" spans="1:7" x14ac:dyDescent="0.2">
      <c r="B343" s="92">
        <f t="shared" si="32"/>
        <v>3</v>
      </c>
      <c r="C343" s="509">
        <f t="shared" si="33"/>
        <v>358231.99832182977</v>
      </c>
      <c r="D343" s="109">
        <f t="shared" si="34"/>
        <v>79499.133248758531</v>
      </c>
      <c r="E343" s="509">
        <f t="shared" si="35"/>
        <v>28658.559865746382</v>
      </c>
      <c r="F343" s="109">
        <f t="shared" ref="F343:F346" si="37">F342</f>
        <v>108157.69311450492</v>
      </c>
      <c r="G343" s="109">
        <f t="shared" si="36"/>
        <v>278732.86507307121</v>
      </c>
    </row>
    <row r="344" spans="1:7" x14ac:dyDescent="0.2">
      <c r="B344" s="92">
        <f t="shared" si="32"/>
        <v>4</v>
      </c>
      <c r="C344" s="509">
        <f t="shared" si="33"/>
        <v>278732.86507307121</v>
      </c>
      <c r="D344" s="109">
        <f t="shared" si="34"/>
        <v>85859.063908659213</v>
      </c>
      <c r="E344" s="509">
        <f t="shared" si="35"/>
        <v>22298.629205845697</v>
      </c>
      <c r="F344" s="109">
        <f t="shared" si="37"/>
        <v>108157.69311450492</v>
      </c>
      <c r="G344" s="109">
        <f t="shared" si="36"/>
        <v>192873.801164412</v>
      </c>
    </row>
    <row r="345" spans="1:7" x14ac:dyDescent="0.2">
      <c r="B345" s="92">
        <f t="shared" si="32"/>
        <v>5</v>
      </c>
      <c r="C345" s="509">
        <f t="shared" si="33"/>
        <v>192873.801164412</v>
      </c>
      <c r="D345" s="109">
        <f t="shared" si="34"/>
        <v>92727.789021351957</v>
      </c>
      <c r="E345" s="509">
        <f t="shared" si="35"/>
        <v>15429.90409315296</v>
      </c>
      <c r="F345" s="109">
        <f t="shared" si="37"/>
        <v>108157.69311450492</v>
      </c>
      <c r="G345" s="109">
        <f t="shared" si="36"/>
        <v>100146.01214306004</v>
      </c>
    </row>
    <row r="346" spans="1:7" x14ac:dyDescent="0.2">
      <c r="B346" s="92">
        <f t="shared" si="32"/>
        <v>6</v>
      </c>
      <c r="C346" s="509">
        <f t="shared" si="33"/>
        <v>100146.01214306004</v>
      </c>
      <c r="D346" s="109">
        <f t="shared" si="34"/>
        <v>100146.01214306011</v>
      </c>
      <c r="E346" s="509">
        <f t="shared" si="35"/>
        <v>8011.6809714448036</v>
      </c>
      <c r="F346" s="109">
        <f t="shared" si="37"/>
        <v>108157.69311450492</v>
      </c>
      <c r="G346" s="109">
        <f t="shared" si="36"/>
        <v>0</v>
      </c>
    </row>
    <row r="348" spans="1:7" x14ac:dyDescent="0.2">
      <c r="A348" s="92" t="s">
        <v>1075</v>
      </c>
      <c r="B348" s="92" t="s">
        <v>1554</v>
      </c>
      <c r="F348" s="132">
        <v>0.08</v>
      </c>
      <c r="G348" s="92" t="s">
        <v>368</v>
      </c>
    </row>
    <row r="349" spans="1:7" x14ac:dyDescent="0.2">
      <c r="F349" s="92">
        <v>3</v>
      </c>
      <c r="G349" s="92" t="s">
        <v>89</v>
      </c>
    </row>
    <row r="350" spans="1:7" x14ac:dyDescent="0.2">
      <c r="E350" s="92" t="s">
        <v>1555</v>
      </c>
      <c r="F350" s="510">
        <f>PV(F348,F349,F351,F352)</f>
        <v>278732.86507307144</v>
      </c>
      <c r="G350" s="92" t="s">
        <v>281</v>
      </c>
    </row>
    <row r="351" spans="1:7" x14ac:dyDescent="0.2">
      <c r="F351" s="254">
        <f>D335</f>
        <v>-108157.69311450492</v>
      </c>
      <c r="G351" s="92" t="s">
        <v>91</v>
      </c>
    </row>
    <row r="352" spans="1:7" x14ac:dyDescent="0.2">
      <c r="F352" s="92">
        <v>0</v>
      </c>
      <c r="G352" s="92" t="s">
        <v>105</v>
      </c>
    </row>
    <row r="354" spans="1:7" x14ac:dyDescent="0.2">
      <c r="A354" s="92" t="s">
        <v>1556</v>
      </c>
      <c r="B354" s="92" t="s">
        <v>1557</v>
      </c>
      <c r="F354" s="104">
        <f>F348</f>
        <v>0.08</v>
      </c>
      <c r="G354" s="92" t="s">
        <v>87</v>
      </c>
    </row>
    <row r="355" spans="1:7" x14ac:dyDescent="0.2">
      <c r="F355" s="105">
        <v>6</v>
      </c>
      <c r="G355" s="92" t="s">
        <v>89</v>
      </c>
    </row>
    <row r="356" spans="1:7" x14ac:dyDescent="0.2">
      <c r="F356" s="105">
        <f>D334</f>
        <v>500000</v>
      </c>
      <c r="G356" s="92" t="s">
        <v>281</v>
      </c>
    </row>
    <row r="357" spans="1:7" x14ac:dyDescent="0.2">
      <c r="F357" s="105">
        <f>I348</f>
        <v>0</v>
      </c>
      <c r="G357" s="92" t="s">
        <v>105</v>
      </c>
    </row>
    <row r="358" spans="1:7" x14ac:dyDescent="0.2">
      <c r="F358" s="105">
        <v>3</v>
      </c>
      <c r="G358" s="92" t="s">
        <v>1488</v>
      </c>
    </row>
    <row r="359" spans="1:7" x14ac:dyDescent="0.2">
      <c r="E359" s="92" t="s">
        <v>1555</v>
      </c>
      <c r="F359" s="106">
        <f>PPMT(F354,F358,F355,F356,F357)</f>
        <v>-79499.133248758517</v>
      </c>
      <c r="G359" s="92" t="s">
        <v>1490</v>
      </c>
    </row>
    <row r="361" spans="1:7" x14ac:dyDescent="0.2">
      <c r="A361" s="92" t="s">
        <v>1558</v>
      </c>
      <c r="B361" s="92" t="s">
        <v>1559</v>
      </c>
    </row>
    <row r="362" spans="1:7" x14ac:dyDescent="0.2">
      <c r="F362" s="109">
        <f>F346*6</f>
        <v>648946.1586870295</v>
      </c>
      <c r="G362" s="92" t="s">
        <v>1560</v>
      </c>
    </row>
    <row r="363" spans="1:7" x14ac:dyDescent="0.2">
      <c r="B363" s="92" t="s">
        <v>1561</v>
      </c>
    </row>
    <row r="364" spans="1:7" x14ac:dyDescent="0.2">
      <c r="F364" s="109">
        <f>F356</f>
        <v>500000</v>
      </c>
    </row>
    <row r="366" spans="1:7" x14ac:dyDescent="0.2">
      <c r="B366" s="92" t="s">
        <v>1562</v>
      </c>
      <c r="F366" s="109">
        <f>F362-F364</f>
        <v>148946.1586870295</v>
      </c>
    </row>
    <row r="368" spans="1:7" x14ac:dyDescent="0.2">
      <c r="B368" s="92" t="s">
        <v>1563</v>
      </c>
    </row>
    <row r="369" spans="1:8" x14ac:dyDescent="0.2">
      <c r="B369" s="92" t="s">
        <v>1564</v>
      </c>
    </row>
    <row r="372" spans="1:8" x14ac:dyDescent="0.2">
      <c r="A372" s="167" t="s">
        <v>1565</v>
      </c>
      <c r="B372" s="167"/>
      <c r="C372" s="167"/>
      <c r="D372" s="167"/>
      <c r="E372" s="167"/>
      <c r="F372" s="167"/>
      <c r="G372" s="167"/>
      <c r="H372" s="167"/>
    </row>
    <row r="373" spans="1:8" x14ac:dyDescent="0.2">
      <c r="A373" s="92" t="s">
        <v>1566</v>
      </c>
    </row>
    <row r="374" spans="1:8" x14ac:dyDescent="0.2">
      <c r="A374" s="92" t="s">
        <v>1567</v>
      </c>
    </row>
    <row r="376" spans="1:8" x14ac:dyDescent="0.2">
      <c r="A376" s="92" t="s">
        <v>321</v>
      </c>
    </row>
    <row r="377" spans="1:8" x14ac:dyDescent="0.2">
      <c r="A377" s="92" t="s">
        <v>1568</v>
      </c>
    </row>
    <row r="378" spans="1:8" x14ac:dyDescent="0.2">
      <c r="A378" s="92" t="s">
        <v>1569</v>
      </c>
    </row>
    <row r="379" spans="1:8" x14ac:dyDescent="0.2">
      <c r="A379" s="92" t="s">
        <v>1570</v>
      </c>
    </row>
    <row r="381" spans="1:8" x14ac:dyDescent="0.2">
      <c r="A381" s="92" t="s">
        <v>1071</v>
      </c>
      <c r="D381" s="132">
        <v>0.06</v>
      </c>
      <c r="E381" s="92" t="s">
        <v>368</v>
      </c>
    </row>
    <row r="382" spans="1:8" x14ac:dyDescent="0.2">
      <c r="D382" s="92">
        <v>60</v>
      </c>
      <c r="E382" s="92" t="s">
        <v>89</v>
      </c>
    </row>
    <row r="383" spans="1:8" x14ac:dyDescent="0.2">
      <c r="D383" s="92">
        <v>80000</v>
      </c>
      <c r="E383" s="92" t="s">
        <v>281</v>
      </c>
    </row>
    <row r="384" spans="1:8" x14ac:dyDescent="0.2">
      <c r="D384" s="254">
        <f>PMT(D381,D382,D383,D385)</f>
        <v>-4950.0577213281385</v>
      </c>
      <c r="E384" s="92" t="s">
        <v>91</v>
      </c>
    </row>
    <row r="385" spans="1:5" x14ac:dyDescent="0.2">
      <c r="D385" s="92">
        <v>0</v>
      </c>
      <c r="E385" s="92" t="s">
        <v>105</v>
      </c>
    </row>
    <row r="387" spans="1:5" x14ac:dyDescent="0.2">
      <c r="A387" s="92" t="s">
        <v>1073</v>
      </c>
      <c r="D387" s="132">
        <v>0.06</v>
      </c>
      <c r="E387" s="92" t="s">
        <v>368</v>
      </c>
    </row>
    <row r="388" spans="1:5" x14ac:dyDescent="0.2">
      <c r="D388" s="92">
        <f>60-12*2</f>
        <v>36</v>
      </c>
      <c r="E388" s="92" t="s">
        <v>89</v>
      </c>
    </row>
    <row r="389" spans="1:5" x14ac:dyDescent="0.2">
      <c r="D389" s="510">
        <f>PV(D387,D388,D390,D391)</f>
        <v>72374.730254216411</v>
      </c>
      <c r="E389" s="92" t="s">
        <v>281</v>
      </c>
    </row>
    <row r="390" spans="1:5" x14ac:dyDescent="0.2">
      <c r="D390" s="254">
        <f>D384</f>
        <v>-4950.0577213281385</v>
      </c>
      <c r="E390" s="92" t="s">
        <v>91</v>
      </c>
    </row>
    <row r="391" spans="1:5" x14ac:dyDescent="0.2">
      <c r="D391" s="92">
        <v>0</v>
      </c>
      <c r="E391" s="92" t="s">
        <v>105</v>
      </c>
    </row>
    <row r="393" spans="1:5" x14ac:dyDescent="0.2">
      <c r="A393" s="92" t="s">
        <v>1075</v>
      </c>
      <c r="D393" s="104">
        <f>D387</f>
        <v>0.06</v>
      </c>
      <c r="E393" s="92" t="s">
        <v>87</v>
      </c>
    </row>
    <row r="394" spans="1:5" x14ac:dyDescent="0.2">
      <c r="D394" s="105">
        <v>60</v>
      </c>
      <c r="E394" s="92" t="s">
        <v>89</v>
      </c>
    </row>
    <row r="395" spans="1:5" x14ac:dyDescent="0.2">
      <c r="D395" s="105">
        <f>D383</f>
        <v>80000</v>
      </c>
      <c r="E395" s="92" t="s">
        <v>281</v>
      </c>
    </row>
    <row r="396" spans="1:5" x14ac:dyDescent="0.2">
      <c r="D396" s="105">
        <f>G387</f>
        <v>0</v>
      </c>
      <c r="E396" s="92" t="s">
        <v>105</v>
      </c>
    </row>
    <row r="397" spans="1:5" x14ac:dyDescent="0.2">
      <c r="A397" s="92" t="s">
        <v>1571</v>
      </c>
      <c r="D397" s="105">
        <v>32</v>
      </c>
      <c r="E397" s="92" t="s">
        <v>1488</v>
      </c>
    </row>
    <row r="398" spans="1:5" x14ac:dyDescent="0.2">
      <c r="A398" s="106">
        <f>IPMT(D393,D397,D394,D395,D396)</f>
        <v>-4036.4912115799607</v>
      </c>
      <c r="B398" s="92" t="s">
        <v>1572</v>
      </c>
      <c r="D398" s="106">
        <f>PPMT(D393,D397,D394,D395,D396)</f>
        <v>-913.56650974817819</v>
      </c>
      <c r="E398" s="92" t="s">
        <v>1490</v>
      </c>
    </row>
    <row r="399" spans="1:5" x14ac:dyDescent="0.2">
      <c r="D399" s="92" t="s">
        <v>1573</v>
      </c>
    </row>
    <row r="401" spans="1:8" x14ac:dyDescent="0.2">
      <c r="A401" s="167" t="s">
        <v>395</v>
      </c>
      <c r="B401" s="167"/>
      <c r="C401" s="167"/>
      <c r="D401" s="167"/>
      <c r="E401" s="167"/>
      <c r="F401" s="167"/>
      <c r="G401" s="167"/>
      <c r="H401" s="167"/>
    </row>
    <row r="402" spans="1:8" x14ac:dyDescent="0.2">
      <c r="A402" s="92" t="s">
        <v>1574</v>
      </c>
    </row>
    <row r="403" spans="1:8" x14ac:dyDescent="0.2">
      <c r="A403" s="92" t="s">
        <v>1575</v>
      </c>
    </row>
    <row r="404" spans="1:8" x14ac:dyDescent="0.2">
      <c r="A404" s="92" t="s">
        <v>321</v>
      </c>
    </row>
    <row r="405" spans="1:8" x14ac:dyDescent="0.2">
      <c r="A405" s="92" t="s">
        <v>1576</v>
      </c>
    </row>
    <row r="406" spans="1:8" x14ac:dyDescent="0.2">
      <c r="A406" s="92" t="s">
        <v>1577</v>
      </c>
    </row>
    <row r="408" spans="1:8" x14ac:dyDescent="0.2">
      <c r="A408" s="92" t="s">
        <v>111</v>
      </c>
    </row>
    <row r="410" spans="1:8" x14ac:dyDescent="0.2">
      <c r="A410" s="92" t="s">
        <v>2750</v>
      </c>
    </row>
    <row r="411" spans="1:8" x14ac:dyDescent="0.2">
      <c r="A411" s="92" t="s">
        <v>2751</v>
      </c>
      <c r="G411" s="92" t="s">
        <v>2747</v>
      </c>
    </row>
    <row r="412" spans="1:8" x14ac:dyDescent="0.2">
      <c r="A412" s="92" t="s">
        <v>2752</v>
      </c>
    </row>
    <row r="413" spans="1:8" x14ac:dyDescent="0.2">
      <c r="A413" s="92" t="s">
        <v>2758</v>
      </c>
      <c r="G413" s="92" t="s">
        <v>2753</v>
      </c>
    </row>
    <row r="415" spans="1:8" x14ac:dyDescent="0.2">
      <c r="A415" s="92" t="s">
        <v>1071</v>
      </c>
      <c r="B415" s="92" t="s">
        <v>1578</v>
      </c>
      <c r="D415" s="511">
        <f>150000/7</f>
        <v>21428.571428571428</v>
      </c>
      <c r="E415" s="92" t="s">
        <v>1579</v>
      </c>
      <c r="G415" s="92" t="s">
        <v>2754</v>
      </c>
    </row>
    <row r="416" spans="1:8" x14ac:dyDescent="0.2">
      <c r="B416" s="92" t="s">
        <v>1580</v>
      </c>
      <c r="D416" s="92">
        <v>4</v>
      </c>
    </row>
    <row r="417" spans="1:7" x14ac:dyDescent="0.2">
      <c r="B417" s="92" t="s">
        <v>1581</v>
      </c>
      <c r="D417" s="511">
        <f>D415*D416</f>
        <v>85714.28571428571</v>
      </c>
      <c r="F417" s="92" t="s">
        <v>1582</v>
      </c>
      <c r="G417" s="92" t="s">
        <v>2755</v>
      </c>
    </row>
    <row r="419" spans="1:7" x14ac:dyDescent="0.2">
      <c r="B419" s="92" t="s">
        <v>1583</v>
      </c>
      <c r="D419" s="109">
        <v>150000</v>
      </c>
      <c r="G419" s="92" t="s">
        <v>2756</v>
      </c>
    </row>
    <row r="420" spans="1:7" x14ac:dyDescent="0.2">
      <c r="B420" s="92" t="s">
        <v>1584</v>
      </c>
      <c r="D420" s="511">
        <f>D417</f>
        <v>85714.28571428571</v>
      </c>
      <c r="G420" s="92" t="s">
        <v>2755</v>
      </c>
    </row>
    <row r="421" spans="1:7" x14ac:dyDescent="0.2">
      <c r="B421" s="92" t="s">
        <v>1585</v>
      </c>
      <c r="D421" s="512">
        <f>D419-D420</f>
        <v>64285.71428571429</v>
      </c>
      <c r="G421" s="92" t="s">
        <v>2757</v>
      </c>
    </row>
    <row r="423" spans="1:7" x14ac:dyDescent="0.2">
      <c r="A423" s="92" t="s">
        <v>1073</v>
      </c>
      <c r="B423" s="92" t="s">
        <v>1586</v>
      </c>
    </row>
    <row r="424" spans="1:7" x14ac:dyDescent="0.2">
      <c r="B424" s="92" t="s">
        <v>1587</v>
      </c>
    </row>
    <row r="426" spans="1:7" x14ac:dyDescent="0.2">
      <c r="B426" s="92" t="s">
        <v>1578</v>
      </c>
      <c r="D426" s="511">
        <f>150000/7</f>
        <v>21428.571428571428</v>
      </c>
      <c r="E426" s="92" t="s">
        <v>1579</v>
      </c>
    </row>
    <row r="427" spans="1:7" x14ac:dyDescent="0.2">
      <c r="B427" s="92" t="s">
        <v>1580</v>
      </c>
      <c r="D427" s="92">
        <v>6</v>
      </c>
    </row>
    <row r="428" spans="1:7" x14ac:dyDescent="0.2">
      <c r="B428" s="92" t="s">
        <v>1581</v>
      </c>
      <c r="D428" s="511">
        <f>D426*D427</f>
        <v>128571.42857142857</v>
      </c>
    </row>
    <row r="430" spans="1:7" x14ac:dyDescent="0.2">
      <c r="B430" s="92" t="s">
        <v>1583</v>
      </c>
      <c r="D430" s="109">
        <v>150000</v>
      </c>
    </row>
    <row r="431" spans="1:7" x14ac:dyDescent="0.2">
      <c r="B431" s="92" t="s">
        <v>1584</v>
      </c>
      <c r="D431" s="511">
        <f>D428</f>
        <v>128571.42857142857</v>
      </c>
    </row>
    <row r="432" spans="1:7" x14ac:dyDescent="0.2">
      <c r="B432" s="92" t="s">
        <v>1588</v>
      </c>
      <c r="D432" s="513">
        <f>D430-D431</f>
        <v>21428.571428571435</v>
      </c>
      <c r="E432" s="92" t="s">
        <v>1589</v>
      </c>
    </row>
    <row r="434" spans="1:8" x14ac:dyDescent="0.2">
      <c r="B434" s="92" t="s">
        <v>1590</v>
      </c>
      <c r="D434" s="132">
        <v>0.06</v>
      </c>
    </row>
    <row r="436" spans="1:8" x14ac:dyDescent="0.2">
      <c r="B436" s="92" t="s">
        <v>1591</v>
      </c>
      <c r="D436" s="512">
        <f>D432*D434</f>
        <v>1285.714285714286</v>
      </c>
      <c r="E436" s="92" t="s">
        <v>316</v>
      </c>
    </row>
    <row r="438" spans="1:8" x14ac:dyDescent="0.2">
      <c r="A438" s="92" t="s">
        <v>2759</v>
      </c>
      <c r="C438" s="640">
        <f>(150000-150000/7*6)*6%</f>
        <v>1285.714285714286</v>
      </c>
    </row>
    <row r="440" spans="1:8" x14ac:dyDescent="0.2">
      <c r="A440" s="92" t="s">
        <v>2760</v>
      </c>
    </row>
    <row r="446" spans="1:8" x14ac:dyDescent="0.2">
      <c r="A446" s="167" t="s">
        <v>1592</v>
      </c>
      <c r="B446" s="167"/>
      <c r="C446" s="167"/>
      <c r="D446" s="167"/>
      <c r="E446" s="167"/>
      <c r="F446" s="167"/>
      <c r="G446" s="167"/>
      <c r="H446" s="167"/>
    </row>
    <row r="447" spans="1:8" x14ac:dyDescent="0.2">
      <c r="A447" s="92" t="s">
        <v>1593</v>
      </c>
    </row>
    <row r="448" spans="1:8" x14ac:dyDescent="0.2">
      <c r="A448" s="92" t="s">
        <v>1594</v>
      </c>
    </row>
    <row r="449" spans="1:1" x14ac:dyDescent="0.2">
      <c r="A449" s="92" t="s">
        <v>1595</v>
      </c>
    </row>
    <row r="450" spans="1:1" x14ac:dyDescent="0.2">
      <c r="A450" s="92" t="s">
        <v>1596</v>
      </c>
    </row>
    <row r="451" spans="1:1" x14ac:dyDescent="0.2">
      <c r="A451" s="92" t="s">
        <v>1597</v>
      </c>
    </row>
    <row r="453" spans="1:1" x14ac:dyDescent="0.2">
      <c r="A453" s="92" t="s">
        <v>321</v>
      </c>
    </row>
    <row r="454" spans="1:1" x14ac:dyDescent="0.2">
      <c r="A454" s="92" t="s">
        <v>1598</v>
      </c>
    </row>
    <row r="455" spans="1:1" x14ac:dyDescent="0.2">
      <c r="A455" s="92" t="s">
        <v>1599</v>
      </c>
    </row>
    <row r="456" spans="1:1" x14ac:dyDescent="0.2">
      <c r="A456" s="92" t="s">
        <v>1600</v>
      </c>
    </row>
    <row r="458" spans="1:1" x14ac:dyDescent="0.2">
      <c r="A458" s="92" t="s">
        <v>111</v>
      </c>
    </row>
    <row r="460" spans="1:1" x14ac:dyDescent="0.2">
      <c r="A460" s="92" t="s">
        <v>1601</v>
      </c>
    </row>
    <row r="461" spans="1:1" x14ac:dyDescent="0.2">
      <c r="A461" s="92" t="s">
        <v>1602</v>
      </c>
    </row>
    <row r="463" spans="1:1" x14ac:dyDescent="0.2">
      <c r="A463" s="92" t="s">
        <v>1603</v>
      </c>
    </row>
    <row r="464" spans="1:1" x14ac:dyDescent="0.2">
      <c r="A464" s="92" t="s">
        <v>1604</v>
      </c>
    </row>
    <row r="465" spans="1:6" x14ac:dyDescent="0.2">
      <c r="A465" s="92" t="s">
        <v>1605</v>
      </c>
    </row>
    <row r="466" spans="1:6" x14ac:dyDescent="0.2">
      <c r="A466" s="92" t="s">
        <v>1606</v>
      </c>
      <c r="E466" s="92" t="s">
        <v>1607</v>
      </c>
    </row>
    <row r="467" spans="1:6" x14ac:dyDescent="0.2">
      <c r="E467" s="92" t="s">
        <v>1608</v>
      </c>
    </row>
    <row r="469" spans="1:6" x14ac:dyDescent="0.2">
      <c r="A469" s="92" t="s">
        <v>1609</v>
      </c>
    </row>
    <row r="470" spans="1:6" x14ac:dyDescent="0.2">
      <c r="A470" s="92" t="s">
        <v>1610</v>
      </c>
    </row>
    <row r="472" spans="1:6" x14ac:dyDescent="0.2">
      <c r="A472" s="92" t="s">
        <v>1611</v>
      </c>
    </row>
    <row r="474" spans="1:6" x14ac:dyDescent="0.2">
      <c r="D474" s="132">
        <v>0.1</v>
      </c>
      <c r="E474" s="92" t="s">
        <v>368</v>
      </c>
    </row>
    <row r="475" spans="1:6" x14ac:dyDescent="0.2">
      <c r="D475" s="92">
        <v>28</v>
      </c>
      <c r="E475" s="92" t="s">
        <v>89</v>
      </c>
    </row>
    <row r="476" spans="1:6" x14ac:dyDescent="0.2">
      <c r="D476" s="92">
        <v>70000</v>
      </c>
      <c r="E476" s="92" t="s">
        <v>281</v>
      </c>
    </row>
    <row r="477" spans="1:6" x14ac:dyDescent="0.2">
      <c r="D477" s="254">
        <f>PMT(D474,D475,D476,D478)</f>
        <v>-7521.5709211310059</v>
      </c>
      <c r="E477" s="92" t="s">
        <v>91</v>
      </c>
      <c r="F477" s="92" t="s">
        <v>1612</v>
      </c>
    </row>
    <row r="478" spans="1:6" x14ac:dyDescent="0.2">
      <c r="D478" s="92">
        <v>0</v>
      </c>
      <c r="E478" s="92" t="s">
        <v>105</v>
      </c>
    </row>
    <row r="480" spans="1:6" x14ac:dyDescent="0.2">
      <c r="A480" s="92" t="s">
        <v>1613</v>
      </c>
    </row>
    <row r="481" spans="1:6" x14ac:dyDescent="0.2">
      <c r="A481" s="92" t="s">
        <v>1614</v>
      </c>
    </row>
    <row r="483" spans="1:6" x14ac:dyDescent="0.2">
      <c r="D483" s="132">
        <f>D474</f>
        <v>0.1</v>
      </c>
      <c r="E483" s="92" t="s">
        <v>368</v>
      </c>
    </row>
    <row r="484" spans="1:6" x14ac:dyDescent="0.2">
      <c r="D484" s="92">
        <v>40</v>
      </c>
      <c r="E484" s="92" t="s">
        <v>89</v>
      </c>
    </row>
    <row r="485" spans="1:6" x14ac:dyDescent="0.2">
      <c r="D485" s="510">
        <f>PV(D483,D484,D486,D487)</f>
        <v>73553.823520370905</v>
      </c>
      <c r="E485" s="92" t="s">
        <v>281</v>
      </c>
      <c r="F485" s="92" t="s">
        <v>1615</v>
      </c>
    </row>
    <row r="486" spans="1:6" x14ac:dyDescent="0.2">
      <c r="D486" s="254">
        <f>D477</f>
        <v>-7521.5709211310059</v>
      </c>
      <c r="E486" s="92" t="s">
        <v>91</v>
      </c>
    </row>
    <row r="487" spans="1:6" x14ac:dyDescent="0.2">
      <c r="D487" s="92">
        <v>0</v>
      </c>
      <c r="E487" s="92" t="s">
        <v>105</v>
      </c>
    </row>
    <row r="489" spans="1:6" x14ac:dyDescent="0.2">
      <c r="A489" s="92" t="s">
        <v>1616</v>
      </c>
    </row>
    <row r="490" spans="1:6" x14ac:dyDescent="0.2">
      <c r="A490" s="92" t="s">
        <v>1617</v>
      </c>
    </row>
    <row r="491" spans="1:6" x14ac:dyDescent="0.2">
      <c r="A491" s="92" t="s">
        <v>1618</v>
      </c>
    </row>
    <row r="492" spans="1:6" x14ac:dyDescent="0.2">
      <c r="A492" s="92" t="s">
        <v>1619</v>
      </c>
    </row>
    <row r="493" spans="1:6" x14ac:dyDescent="0.2">
      <c r="A493" s="92" t="s">
        <v>1620</v>
      </c>
      <c r="C493" s="302">
        <f>500000*1.01^5</f>
        <v>525505.02504999994</v>
      </c>
      <c r="E493" s="92" t="s">
        <v>1621</v>
      </c>
    </row>
    <row r="495" spans="1:6" x14ac:dyDescent="0.2">
      <c r="A495" s="92" t="s">
        <v>1622</v>
      </c>
    </row>
    <row r="496" spans="1:6" x14ac:dyDescent="0.2">
      <c r="A496" s="92" t="s">
        <v>1623</v>
      </c>
    </row>
    <row r="497" spans="4:6" x14ac:dyDescent="0.2">
      <c r="D497" s="132">
        <v>0.01</v>
      </c>
      <c r="E497" s="92" t="s">
        <v>368</v>
      </c>
    </row>
    <row r="498" spans="4:6" x14ac:dyDescent="0.2">
      <c r="D498" s="92">
        <v>31</v>
      </c>
      <c r="E498" s="92" t="s">
        <v>89</v>
      </c>
    </row>
    <row r="499" spans="4:6" x14ac:dyDescent="0.2">
      <c r="D499" s="302">
        <f>C493</f>
        <v>525505.02504999994</v>
      </c>
      <c r="E499" s="92" t="s">
        <v>281</v>
      </c>
    </row>
    <row r="500" spans="4:6" x14ac:dyDescent="0.2">
      <c r="D500" s="254">
        <f>PMT(D497,D498,D499,D501)</f>
        <v>-19798.785890956235</v>
      </c>
      <c r="E500" s="92" t="s">
        <v>91</v>
      </c>
      <c r="F500" s="92" t="s">
        <v>316</v>
      </c>
    </row>
    <row r="501" spans="4:6" x14ac:dyDescent="0.2">
      <c r="D501" s="92">
        <v>0</v>
      </c>
      <c r="E501" s="92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2831A-9D68-1541-8950-32D9D1295DC1}">
  <dimension ref="A1:J306"/>
  <sheetViews>
    <sheetView showGridLines="0" rightToLeft="1" topLeftCell="A102" zoomScale="300" zoomScaleNormal="300" workbookViewId="0">
      <selection activeCell="C308" sqref="C308"/>
    </sheetView>
  </sheetViews>
  <sheetFormatPr baseColWidth="10" defaultColWidth="10.83203125" defaultRowHeight="15" x14ac:dyDescent="0.2"/>
  <cols>
    <col min="1" max="3" width="10.83203125" style="43"/>
    <col min="4" max="4" width="11.1640625" style="43" customWidth="1"/>
    <col min="5" max="16384" width="10.83203125" style="43"/>
  </cols>
  <sheetData>
    <row r="1" spans="1:8" s="92" customFormat="1" ht="16" x14ac:dyDescent="0.2">
      <c r="A1" s="740" t="s">
        <v>3321</v>
      </c>
      <c r="B1" s="740"/>
      <c r="C1" s="740"/>
      <c r="D1" s="740"/>
      <c r="E1" s="740"/>
      <c r="F1" s="740"/>
      <c r="G1" s="740"/>
      <c r="H1" s="740"/>
    </row>
    <row r="3" spans="1:8" x14ac:dyDescent="0.2">
      <c r="A3" s="178" t="s">
        <v>1624</v>
      </c>
      <c r="B3" s="71"/>
      <c r="C3" s="71"/>
      <c r="D3" s="71"/>
      <c r="E3" s="71"/>
      <c r="F3" s="71"/>
      <c r="G3" s="71"/>
      <c r="H3" s="71"/>
    </row>
    <row r="4" spans="1:8" x14ac:dyDescent="0.2">
      <c r="A4" s="43" t="s">
        <v>1625</v>
      </c>
    </row>
    <row r="5" spans="1:8" x14ac:dyDescent="0.2">
      <c r="A5" s="43" t="s">
        <v>1626</v>
      </c>
    </row>
    <row r="6" spans="1:8" x14ac:dyDescent="0.2">
      <c r="A6" s="43" t="s">
        <v>1627</v>
      </c>
    </row>
    <row r="8" spans="1:8" x14ac:dyDescent="0.2">
      <c r="A8" s="179" t="s">
        <v>1628</v>
      </c>
      <c r="B8" s="177"/>
      <c r="C8" s="177"/>
      <c r="D8" s="177"/>
      <c r="E8" s="177"/>
      <c r="F8" s="177"/>
      <c r="G8" s="177"/>
      <c r="H8" s="177"/>
    </row>
    <row r="9" spans="1:8" x14ac:dyDescent="0.2">
      <c r="A9" s="43" t="s">
        <v>1629</v>
      </c>
    </row>
    <row r="10" spans="1:8" x14ac:dyDescent="0.2">
      <c r="A10" s="43" t="s">
        <v>1630</v>
      </c>
    </row>
    <row r="11" spans="1:8" x14ac:dyDescent="0.2">
      <c r="A11" s="43" t="s">
        <v>1631</v>
      </c>
    </row>
    <row r="12" spans="1:8" x14ac:dyDescent="0.2">
      <c r="A12" s="43" t="s">
        <v>1632</v>
      </c>
    </row>
    <row r="14" spans="1:8" x14ac:dyDescent="0.2">
      <c r="A14" s="179" t="s">
        <v>1633</v>
      </c>
      <c r="B14" s="179"/>
      <c r="C14" s="179"/>
      <c r="D14" s="179"/>
      <c r="E14" s="179"/>
      <c r="F14" s="179"/>
      <c r="G14" s="179"/>
      <c r="H14" s="179"/>
    </row>
    <row r="15" spans="1:8" x14ac:dyDescent="0.2">
      <c r="A15" s="44" t="s">
        <v>1634</v>
      </c>
    </row>
    <row r="25" spans="1:2" x14ac:dyDescent="0.2">
      <c r="A25" s="43" t="s">
        <v>65</v>
      </c>
    </row>
    <row r="26" spans="1:2" x14ac:dyDescent="0.2">
      <c r="A26" s="47" t="s">
        <v>1467</v>
      </c>
      <c r="B26" s="43" t="s">
        <v>1635</v>
      </c>
    </row>
    <row r="27" spans="1:2" x14ac:dyDescent="0.2">
      <c r="A27" s="47" t="s">
        <v>1636</v>
      </c>
      <c r="B27" s="43" t="s">
        <v>1505</v>
      </c>
    </row>
    <row r="28" spans="1:2" x14ac:dyDescent="0.2">
      <c r="A28" s="47" t="s">
        <v>69</v>
      </c>
      <c r="B28" s="43" t="s">
        <v>1637</v>
      </c>
    </row>
    <row r="29" spans="1:2" x14ac:dyDescent="0.2">
      <c r="A29" s="47" t="s">
        <v>1638</v>
      </c>
      <c r="B29" s="43" t="s">
        <v>1639</v>
      </c>
    </row>
    <row r="30" spans="1:2" x14ac:dyDescent="0.2">
      <c r="A30" s="47" t="s">
        <v>1640</v>
      </c>
      <c r="B30" s="43" t="s">
        <v>1641</v>
      </c>
    </row>
    <row r="31" spans="1:2" x14ac:dyDescent="0.2">
      <c r="A31" s="47" t="s">
        <v>1642</v>
      </c>
      <c r="B31" s="43" t="s">
        <v>1643</v>
      </c>
    </row>
    <row r="32" spans="1:2" x14ac:dyDescent="0.2">
      <c r="A32" s="47" t="s">
        <v>1644</v>
      </c>
      <c r="B32" s="43" t="s">
        <v>1645</v>
      </c>
    </row>
    <row r="35" spans="1:8" x14ac:dyDescent="0.2">
      <c r="A35" s="180" t="s">
        <v>2763</v>
      </c>
      <c r="B35" s="180"/>
      <c r="C35" s="180"/>
      <c r="D35" s="180"/>
      <c r="E35" s="180"/>
      <c r="F35" s="180"/>
      <c r="G35" s="180"/>
      <c r="H35" s="180"/>
    </row>
    <row r="36" spans="1:8" x14ac:dyDescent="0.2">
      <c r="A36" s="43" t="s">
        <v>2762</v>
      </c>
    </row>
    <row r="37" spans="1:8" x14ac:dyDescent="0.2">
      <c r="A37" s="43" t="s">
        <v>2764</v>
      </c>
    </row>
    <row r="38" spans="1:8" x14ac:dyDescent="0.2">
      <c r="A38" s="43" t="s">
        <v>2761</v>
      </c>
    </row>
    <row r="40" spans="1:8" x14ac:dyDescent="0.2">
      <c r="A40" s="44" t="s">
        <v>111</v>
      </c>
    </row>
    <row r="41" spans="1:8" x14ac:dyDescent="0.2">
      <c r="A41" s="44" t="s">
        <v>3322</v>
      </c>
    </row>
    <row r="42" spans="1:8" x14ac:dyDescent="0.2">
      <c r="A42" s="43" t="s">
        <v>2765</v>
      </c>
    </row>
    <row r="43" spans="1:8" x14ac:dyDescent="0.2">
      <c r="A43" s="43" t="s">
        <v>2766</v>
      </c>
    </row>
    <row r="44" spans="1:8" x14ac:dyDescent="0.2">
      <c r="A44" s="43" t="s">
        <v>2767</v>
      </c>
    </row>
    <row r="45" spans="1:8" x14ac:dyDescent="0.2">
      <c r="A45" s="43" t="s">
        <v>2768</v>
      </c>
    </row>
    <row r="46" spans="1:8" x14ac:dyDescent="0.2">
      <c r="A46" s="44"/>
    </row>
    <row r="47" spans="1:8" x14ac:dyDescent="0.2">
      <c r="A47" s="44"/>
    </row>
    <row r="48" spans="1:8" x14ac:dyDescent="0.2">
      <c r="A48" s="44"/>
    </row>
    <row r="49" spans="1:8" x14ac:dyDescent="0.2">
      <c r="A49" s="44"/>
    </row>
    <row r="50" spans="1:8" x14ac:dyDescent="0.2">
      <c r="A50" s="44"/>
    </row>
    <row r="51" spans="1:8" x14ac:dyDescent="0.2">
      <c r="A51" s="43" t="s">
        <v>2769</v>
      </c>
    </row>
    <row r="52" spans="1:8" x14ac:dyDescent="0.2">
      <c r="A52" s="43" t="s">
        <v>2770</v>
      </c>
    </row>
    <row r="53" spans="1:8" x14ac:dyDescent="0.2">
      <c r="A53" s="43" t="s">
        <v>2771</v>
      </c>
    </row>
    <row r="54" spans="1:8" x14ac:dyDescent="0.2">
      <c r="A54" s="43" t="s">
        <v>2772</v>
      </c>
    </row>
    <row r="55" spans="1:8" x14ac:dyDescent="0.2">
      <c r="A55" s="43" t="s">
        <v>2773</v>
      </c>
    </row>
    <row r="56" spans="1:8" x14ac:dyDescent="0.2">
      <c r="A56" s="43" t="s">
        <v>2774</v>
      </c>
    </row>
    <row r="58" spans="1:8" x14ac:dyDescent="0.2">
      <c r="A58" s="43" t="s">
        <v>2775</v>
      </c>
    </row>
    <row r="59" spans="1:8" x14ac:dyDescent="0.2">
      <c r="A59" s="43" t="s">
        <v>2776</v>
      </c>
    </row>
    <row r="61" spans="1:8" x14ac:dyDescent="0.2">
      <c r="A61" s="44" t="s">
        <v>2777</v>
      </c>
      <c r="B61" s="44"/>
      <c r="C61" s="44"/>
      <c r="D61" s="44"/>
      <c r="E61" s="44"/>
      <c r="F61" s="44"/>
    </row>
    <row r="62" spans="1:8" x14ac:dyDescent="0.2">
      <c r="A62" s="44" t="s">
        <v>2778</v>
      </c>
      <c r="B62" s="44"/>
      <c r="C62" s="44"/>
      <c r="D62" s="44"/>
      <c r="E62" s="44"/>
      <c r="F62" s="44" t="s">
        <v>2779</v>
      </c>
    </row>
    <row r="64" spans="1:8" ht="16" x14ac:dyDescent="0.2">
      <c r="A64" s="92"/>
      <c r="B64" s="92"/>
      <c r="C64" s="172" t="s">
        <v>1467</v>
      </c>
      <c r="D64" s="172" t="s">
        <v>1527</v>
      </c>
      <c r="E64" s="514" t="s">
        <v>1469</v>
      </c>
      <c r="F64" s="172" t="s">
        <v>1470</v>
      </c>
      <c r="H64" s="43" t="s">
        <v>1646</v>
      </c>
    </row>
    <row r="65" spans="1:10" ht="16" x14ac:dyDescent="0.2">
      <c r="A65" s="169" t="s">
        <v>1448</v>
      </c>
      <c r="B65" s="169" t="s">
        <v>1449</v>
      </c>
      <c r="C65" s="169" t="s">
        <v>1450</v>
      </c>
      <c r="D65" s="169" t="s">
        <v>1451</v>
      </c>
      <c r="E65" s="169" t="s">
        <v>1452</v>
      </c>
      <c r="F65" s="169" t="s">
        <v>1453</v>
      </c>
      <c r="H65" s="43" t="s">
        <v>1647</v>
      </c>
    </row>
    <row r="66" spans="1:10" ht="16" x14ac:dyDescent="0.2">
      <c r="A66" s="184">
        <v>0</v>
      </c>
      <c r="B66" s="170"/>
      <c r="C66" s="170"/>
      <c r="D66" s="170"/>
      <c r="E66" s="170"/>
      <c r="F66" s="516">
        <v>150000</v>
      </c>
      <c r="H66" s="59" t="s">
        <v>1648</v>
      </c>
      <c r="I66" s="59"/>
      <c r="J66" s="59"/>
    </row>
    <row r="67" spans="1:10" ht="16" x14ac:dyDescent="0.2">
      <c r="A67" s="184">
        <f>A66+1</f>
        <v>1</v>
      </c>
      <c r="B67" s="516">
        <f>F66</f>
        <v>150000</v>
      </c>
      <c r="C67" s="516">
        <f>E67-D67</f>
        <v>7096.3909810507521</v>
      </c>
      <c r="D67" s="516">
        <f>H$68*B67</f>
        <v>1500</v>
      </c>
      <c r="E67" s="516">
        <f>-PMT(1%,12,150000,-60000)</f>
        <v>8596.3909810507521</v>
      </c>
      <c r="F67" s="516">
        <f>B67-C67</f>
        <v>142903.60901894924</v>
      </c>
    </row>
    <row r="68" spans="1:10" ht="16" x14ac:dyDescent="0.2">
      <c r="A68" s="184">
        <f t="shared" ref="A68:A78" si="0">A67+1</f>
        <v>2</v>
      </c>
      <c r="B68" s="516">
        <f t="shared" ref="B68:B78" si="1">F67</f>
        <v>142903.60901894924</v>
      </c>
      <c r="C68" s="516">
        <f t="shared" ref="C68:C78" si="2">E68-D68</f>
        <v>7167.3548908612593</v>
      </c>
      <c r="D68" s="516">
        <f t="shared" ref="D68:D78" si="3">H$68*B68</f>
        <v>1429.0360901894924</v>
      </c>
      <c r="E68" s="516">
        <f>E67</f>
        <v>8596.3909810507521</v>
      </c>
      <c r="F68" s="516">
        <f t="shared" ref="F68:F78" si="4">B68-C68</f>
        <v>135736.25412808798</v>
      </c>
      <c r="H68" s="643">
        <f>12%/12</f>
        <v>0.01</v>
      </c>
      <c r="I68" s="43" t="s">
        <v>87</v>
      </c>
    </row>
    <row r="69" spans="1:10" ht="16" x14ac:dyDescent="0.2">
      <c r="A69" s="184">
        <f t="shared" si="0"/>
        <v>3</v>
      </c>
      <c r="B69" s="516">
        <f t="shared" si="1"/>
        <v>135736.25412808798</v>
      </c>
      <c r="C69" s="516">
        <f t="shared" si="2"/>
        <v>7239.0284397698724</v>
      </c>
      <c r="D69" s="516">
        <f t="shared" si="3"/>
        <v>1357.3625412808799</v>
      </c>
      <c r="E69" s="516">
        <f>E68</f>
        <v>8596.3909810507521</v>
      </c>
      <c r="F69" s="516">
        <f t="shared" si="4"/>
        <v>128497.22568831811</v>
      </c>
      <c r="G69" s="43" t="s">
        <v>2780</v>
      </c>
      <c r="H69" s="29">
        <v>12</v>
      </c>
      <c r="I69" s="43" t="s">
        <v>89</v>
      </c>
    </row>
    <row r="70" spans="1:10" ht="16" x14ac:dyDescent="0.2">
      <c r="A70" s="184">
        <f t="shared" si="0"/>
        <v>4</v>
      </c>
      <c r="B70" s="516">
        <f t="shared" si="1"/>
        <v>128497.22568831811</v>
      </c>
      <c r="C70" s="516">
        <f t="shared" si="2"/>
        <v>7311.4187241675709</v>
      </c>
      <c r="D70" s="516">
        <f t="shared" si="3"/>
        <v>1284.9722568831812</v>
      </c>
      <c r="E70" s="516">
        <f>E69</f>
        <v>8596.3909810507521</v>
      </c>
      <c r="F70" s="516">
        <f t="shared" si="4"/>
        <v>121185.80696415054</v>
      </c>
      <c r="G70" s="43" t="s">
        <v>2303</v>
      </c>
      <c r="H70" s="29">
        <v>150000</v>
      </c>
      <c r="I70" s="43" t="s">
        <v>281</v>
      </c>
    </row>
    <row r="71" spans="1:10" ht="16" x14ac:dyDescent="0.2">
      <c r="A71" s="184">
        <f t="shared" si="0"/>
        <v>5</v>
      </c>
      <c r="B71" s="516">
        <f t="shared" si="1"/>
        <v>121185.80696415054</v>
      </c>
      <c r="C71" s="516">
        <f t="shared" si="2"/>
        <v>7384.5329114092465</v>
      </c>
      <c r="D71" s="516">
        <f t="shared" si="3"/>
        <v>1211.8580696415054</v>
      </c>
      <c r="E71" s="516">
        <f t="shared" ref="E71:E77" si="5">E70</f>
        <v>8596.3909810507521</v>
      </c>
      <c r="F71" s="516">
        <f t="shared" si="4"/>
        <v>113801.2740527413</v>
      </c>
      <c r="G71" s="288"/>
      <c r="H71" s="490">
        <f>PMT(H68,H69,H70,H72)</f>
        <v>-8596.3909810507521</v>
      </c>
      <c r="I71" s="288" t="s">
        <v>91</v>
      </c>
      <c r="J71" s="288"/>
    </row>
    <row r="72" spans="1:10" ht="16" x14ac:dyDescent="0.2">
      <c r="A72" s="184">
        <f t="shared" si="0"/>
        <v>6</v>
      </c>
      <c r="B72" s="516">
        <f t="shared" si="1"/>
        <v>113801.2740527413</v>
      </c>
      <c r="C72" s="516">
        <f t="shared" si="2"/>
        <v>7458.3782405233396</v>
      </c>
      <c r="D72" s="516">
        <f t="shared" si="3"/>
        <v>1138.0127405274129</v>
      </c>
      <c r="E72" s="516">
        <f t="shared" si="5"/>
        <v>8596.3909810507521</v>
      </c>
      <c r="F72" s="516">
        <f t="shared" si="4"/>
        <v>106342.89581221796</v>
      </c>
      <c r="G72" s="43" t="s">
        <v>2781</v>
      </c>
      <c r="H72" s="29">
        <v>-60000</v>
      </c>
      <c r="I72" s="43" t="s">
        <v>105</v>
      </c>
    </row>
    <row r="73" spans="1:10" ht="16" x14ac:dyDescent="0.2">
      <c r="A73" s="184">
        <f t="shared" si="0"/>
        <v>7</v>
      </c>
      <c r="B73" s="516">
        <f t="shared" si="1"/>
        <v>106342.89581221796</v>
      </c>
      <c r="C73" s="516">
        <f t="shared" si="2"/>
        <v>7532.962022928572</v>
      </c>
      <c r="D73" s="516">
        <f t="shared" si="3"/>
        <v>1063.4289581221797</v>
      </c>
      <c r="E73" s="516">
        <f t="shared" si="5"/>
        <v>8596.3909810507521</v>
      </c>
      <c r="F73" s="516">
        <f t="shared" si="4"/>
        <v>98809.933789289382</v>
      </c>
    </row>
    <row r="74" spans="1:10" ht="16" x14ac:dyDescent="0.2">
      <c r="A74" s="184">
        <f t="shared" si="0"/>
        <v>8</v>
      </c>
      <c r="B74" s="516">
        <f t="shared" si="1"/>
        <v>98809.933789289382</v>
      </c>
      <c r="C74" s="516">
        <f t="shared" si="2"/>
        <v>7608.2916431578578</v>
      </c>
      <c r="D74" s="516">
        <f t="shared" si="3"/>
        <v>988.0993378928938</v>
      </c>
      <c r="E74" s="516">
        <f t="shared" si="5"/>
        <v>8596.3909810507521</v>
      </c>
      <c r="F74" s="516">
        <f t="shared" si="4"/>
        <v>91201.642146131519</v>
      </c>
    </row>
    <row r="75" spans="1:10" ht="16" x14ac:dyDescent="0.2">
      <c r="A75" s="184">
        <f t="shared" si="0"/>
        <v>9</v>
      </c>
      <c r="B75" s="516">
        <f t="shared" si="1"/>
        <v>91201.642146131519</v>
      </c>
      <c r="C75" s="516">
        <f t="shared" si="2"/>
        <v>7684.374559589437</v>
      </c>
      <c r="D75" s="516">
        <f t="shared" si="3"/>
        <v>912.01642146131519</v>
      </c>
      <c r="E75" s="516">
        <f t="shared" si="5"/>
        <v>8596.3909810507521</v>
      </c>
      <c r="F75" s="516">
        <f t="shared" si="4"/>
        <v>83517.267586542075</v>
      </c>
    </row>
    <row r="76" spans="1:10" ht="16" x14ac:dyDescent="0.2">
      <c r="A76" s="184">
        <f t="shared" si="0"/>
        <v>10</v>
      </c>
      <c r="B76" s="516">
        <f t="shared" si="1"/>
        <v>83517.267586542075</v>
      </c>
      <c r="C76" s="516">
        <f t="shared" si="2"/>
        <v>7761.2183051853317</v>
      </c>
      <c r="D76" s="516">
        <f t="shared" si="3"/>
        <v>835.17267586542073</v>
      </c>
      <c r="E76" s="516">
        <f t="shared" si="5"/>
        <v>8596.3909810507521</v>
      </c>
      <c r="F76" s="516">
        <f t="shared" si="4"/>
        <v>75756.04928135674</v>
      </c>
    </row>
    <row r="77" spans="1:10" ht="16" x14ac:dyDescent="0.2">
      <c r="A77" s="184">
        <f t="shared" si="0"/>
        <v>11</v>
      </c>
      <c r="B77" s="516">
        <f t="shared" si="1"/>
        <v>75756.04928135674</v>
      </c>
      <c r="C77" s="516">
        <f t="shared" si="2"/>
        <v>7838.8304882371849</v>
      </c>
      <c r="D77" s="516">
        <f t="shared" si="3"/>
        <v>757.56049281356741</v>
      </c>
      <c r="E77" s="516">
        <f t="shared" si="5"/>
        <v>8596.3909810507521</v>
      </c>
      <c r="F77" s="516">
        <f t="shared" si="4"/>
        <v>67917.218793119551</v>
      </c>
    </row>
    <row r="78" spans="1:10" ht="16" x14ac:dyDescent="0.2">
      <c r="A78" s="184">
        <f t="shared" si="0"/>
        <v>12</v>
      </c>
      <c r="B78" s="516">
        <f t="shared" si="1"/>
        <v>67917.218793119551</v>
      </c>
      <c r="C78" s="516">
        <f t="shared" si="2"/>
        <v>67917.218793119551</v>
      </c>
      <c r="D78" s="516">
        <f t="shared" si="3"/>
        <v>679.17218793119548</v>
      </c>
      <c r="E78" s="517">
        <f>E77+60000</f>
        <v>68596.390981050747</v>
      </c>
      <c r="F78" s="516">
        <f t="shared" si="4"/>
        <v>0</v>
      </c>
    </row>
    <row r="79" spans="1:10" x14ac:dyDescent="0.2">
      <c r="A79" s="44"/>
    </row>
    <row r="80" spans="1:10" x14ac:dyDescent="0.2">
      <c r="A80" s="43" t="s">
        <v>2782</v>
      </c>
    </row>
    <row r="82" spans="1:8" x14ac:dyDescent="0.2">
      <c r="A82" s="695" t="s">
        <v>2783</v>
      </c>
      <c r="B82" s="696"/>
      <c r="C82" s="696"/>
      <c r="D82" s="696"/>
      <c r="E82" s="696"/>
      <c r="F82" s="697"/>
    </row>
    <row r="83" spans="1:8" x14ac:dyDescent="0.2">
      <c r="A83" s="698" t="s">
        <v>1649</v>
      </c>
      <c r="B83" s="699"/>
      <c r="C83" s="699"/>
      <c r="D83" s="699"/>
      <c r="E83" s="699"/>
      <c r="F83" s="700"/>
    </row>
    <row r="85" spans="1:8" x14ac:dyDescent="0.2">
      <c r="A85" s="198" t="s">
        <v>1650</v>
      </c>
      <c r="B85" s="199"/>
      <c r="C85" s="199"/>
      <c r="D85" s="199"/>
      <c r="E85" s="199"/>
      <c r="F85" s="200"/>
    </row>
    <row r="88" spans="1:8" x14ac:dyDescent="0.2">
      <c r="A88" s="180" t="s">
        <v>2786</v>
      </c>
      <c r="B88" s="180"/>
      <c r="C88" s="180"/>
      <c r="D88" s="180"/>
      <c r="E88" s="180"/>
      <c r="F88" s="180"/>
      <c r="G88" s="180"/>
      <c r="H88" s="180"/>
    </row>
    <row r="89" spans="1:8" x14ac:dyDescent="0.2">
      <c r="A89" s="43" t="s">
        <v>3323</v>
      </c>
    </row>
    <row r="90" spans="1:8" x14ac:dyDescent="0.2">
      <c r="A90" s="43" t="s">
        <v>321</v>
      </c>
    </row>
    <row r="91" spans="1:8" x14ac:dyDescent="0.2">
      <c r="A91" s="43" t="s">
        <v>1651</v>
      </c>
    </row>
    <row r="92" spans="1:8" x14ac:dyDescent="0.2">
      <c r="A92" s="43" t="s">
        <v>1652</v>
      </c>
    </row>
    <row r="93" spans="1:8" x14ac:dyDescent="0.2">
      <c r="A93" s="43" t="s">
        <v>1653</v>
      </c>
    </row>
    <row r="94" spans="1:8" x14ac:dyDescent="0.2">
      <c r="A94" s="43" t="s">
        <v>1654</v>
      </c>
    </row>
    <row r="96" spans="1:8" x14ac:dyDescent="0.2">
      <c r="A96" s="45" t="s">
        <v>111</v>
      </c>
      <c r="B96" s="46"/>
      <c r="C96" s="46"/>
      <c r="D96" s="46"/>
      <c r="E96" s="46"/>
      <c r="F96" s="46"/>
      <c r="G96" s="46"/>
      <c r="H96" s="46"/>
    </row>
    <row r="97" spans="1:9" x14ac:dyDescent="0.2">
      <c r="A97" s="79" t="s">
        <v>2784</v>
      </c>
    </row>
    <row r="98" spans="1:9" x14ac:dyDescent="0.2">
      <c r="A98" s="43" t="s">
        <v>2785</v>
      </c>
    </row>
    <row r="100" spans="1:9" ht="16" x14ac:dyDescent="0.2">
      <c r="A100" s="92"/>
      <c r="B100" s="92"/>
      <c r="C100" s="172" t="s">
        <v>1467</v>
      </c>
      <c r="D100" s="172" t="s">
        <v>1527</v>
      </c>
      <c r="E100" s="172" t="s">
        <v>1469</v>
      </c>
      <c r="F100" s="172" t="s">
        <v>1470</v>
      </c>
      <c r="G100" s="452" t="s">
        <v>3326</v>
      </c>
    </row>
    <row r="101" spans="1:9" ht="16" x14ac:dyDescent="0.2">
      <c r="A101" s="169" t="s">
        <v>1448</v>
      </c>
      <c r="B101" s="169" t="s">
        <v>1449</v>
      </c>
      <c r="C101" s="169" t="s">
        <v>1450</v>
      </c>
      <c r="D101" s="169" t="s">
        <v>1451</v>
      </c>
      <c r="E101" s="169" t="s">
        <v>1452</v>
      </c>
      <c r="F101" s="169" t="s">
        <v>1453</v>
      </c>
      <c r="H101" s="452" t="s">
        <v>3325</v>
      </c>
      <c r="I101" s="452" t="s">
        <v>3324</v>
      </c>
    </row>
    <row r="102" spans="1:9" ht="16" x14ac:dyDescent="0.2">
      <c r="A102" s="184">
        <v>0</v>
      </c>
      <c r="B102" s="641"/>
      <c r="C102" s="641"/>
      <c r="D102" s="641"/>
      <c r="E102" s="641"/>
      <c r="F102" s="516">
        <v>100000</v>
      </c>
    </row>
    <row r="103" spans="1:9" ht="16" x14ac:dyDescent="0.2">
      <c r="A103" s="184">
        <f>A102+1</f>
        <v>1</v>
      </c>
      <c r="B103" s="516">
        <f>F102</f>
        <v>100000</v>
      </c>
      <c r="C103" s="516">
        <f>F102/10</f>
        <v>10000</v>
      </c>
      <c r="D103" s="516">
        <f>7%*B103</f>
        <v>7000.0000000000009</v>
      </c>
      <c r="E103" s="516">
        <f>C103+D103</f>
        <v>17000</v>
      </c>
      <c r="F103" s="516">
        <f>B103-C103</f>
        <v>90000</v>
      </c>
    </row>
    <row r="104" spans="1:9" ht="16" x14ac:dyDescent="0.2">
      <c r="A104" s="184">
        <f t="shared" ref="A104:A112" si="6">A103+1</f>
        <v>2</v>
      </c>
      <c r="B104" s="516">
        <f t="shared" ref="B104:B112" si="7">F103</f>
        <v>90000</v>
      </c>
      <c r="C104" s="516">
        <f>C103</f>
        <v>10000</v>
      </c>
      <c r="D104" s="516">
        <f t="shared" ref="D104:D112" si="8">7%*B104</f>
        <v>6300.0000000000009</v>
      </c>
      <c r="E104" s="516">
        <f t="shared" ref="E104:E112" si="9">C104+D104</f>
        <v>16300</v>
      </c>
      <c r="F104" s="516">
        <f t="shared" ref="F104:F112" si="10">B104-C104</f>
        <v>80000</v>
      </c>
    </row>
    <row r="105" spans="1:9" ht="16" x14ac:dyDescent="0.2">
      <c r="A105" s="184">
        <f t="shared" si="6"/>
        <v>3</v>
      </c>
      <c r="B105" s="516">
        <f t="shared" si="7"/>
        <v>80000</v>
      </c>
      <c r="C105" s="516">
        <f t="shared" ref="C105:C112" si="11">C104</f>
        <v>10000</v>
      </c>
      <c r="D105" s="642">
        <f t="shared" si="8"/>
        <v>5600.0000000000009</v>
      </c>
      <c r="E105" s="516">
        <f t="shared" si="9"/>
        <v>15600</v>
      </c>
      <c r="F105" s="516">
        <f t="shared" si="10"/>
        <v>70000</v>
      </c>
    </row>
    <row r="106" spans="1:9" ht="16" x14ac:dyDescent="0.2">
      <c r="A106" s="184">
        <f t="shared" si="6"/>
        <v>4</v>
      </c>
      <c r="B106" s="516">
        <f t="shared" si="7"/>
        <v>70000</v>
      </c>
      <c r="C106" s="516">
        <f t="shared" si="11"/>
        <v>10000</v>
      </c>
      <c r="D106" s="516">
        <f t="shared" si="8"/>
        <v>4900.0000000000009</v>
      </c>
      <c r="E106" s="516">
        <f t="shared" si="9"/>
        <v>14900</v>
      </c>
      <c r="F106" s="516">
        <f t="shared" si="10"/>
        <v>60000</v>
      </c>
    </row>
    <row r="107" spans="1:9" ht="16" x14ac:dyDescent="0.2">
      <c r="A107" s="184">
        <f t="shared" si="6"/>
        <v>5</v>
      </c>
      <c r="B107" s="516">
        <f t="shared" si="7"/>
        <v>60000</v>
      </c>
      <c r="C107" s="516">
        <f t="shared" si="11"/>
        <v>10000</v>
      </c>
      <c r="D107" s="516">
        <f t="shared" si="8"/>
        <v>4200</v>
      </c>
      <c r="E107" s="516">
        <f t="shared" si="9"/>
        <v>14200</v>
      </c>
      <c r="F107" s="516">
        <f t="shared" si="10"/>
        <v>50000</v>
      </c>
    </row>
    <row r="108" spans="1:9" ht="16" x14ac:dyDescent="0.2">
      <c r="A108" s="184">
        <f t="shared" si="6"/>
        <v>6</v>
      </c>
      <c r="B108" s="516">
        <f t="shared" si="7"/>
        <v>50000</v>
      </c>
      <c r="C108" s="516">
        <f t="shared" si="11"/>
        <v>10000</v>
      </c>
      <c r="D108" s="516">
        <f t="shared" si="8"/>
        <v>3500.0000000000005</v>
      </c>
      <c r="E108" s="516">
        <f t="shared" si="9"/>
        <v>13500</v>
      </c>
      <c r="F108" s="516">
        <f t="shared" si="10"/>
        <v>40000</v>
      </c>
    </row>
    <row r="109" spans="1:9" ht="16" x14ac:dyDescent="0.2">
      <c r="A109" s="184">
        <f t="shared" si="6"/>
        <v>7</v>
      </c>
      <c r="B109" s="516">
        <f t="shared" si="7"/>
        <v>40000</v>
      </c>
      <c r="C109" s="516">
        <f t="shared" si="11"/>
        <v>10000</v>
      </c>
      <c r="D109" s="642">
        <f t="shared" si="8"/>
        <v>2800.0000000000005</v>
      </c>
      <c r="E109" s="516">
        <f t="shared" si="9"/>
        <v>12800</v>
      </c>
      <c r="F109" s="516">
        <f t="shared" si="10"/>
        <v>30000</v>
      </c>
    </row>
    <row r="110" spans="1:9" ht="16" x14ac:dyDescent="0.2">
      <c r="A110" s="184">
        <f t="shared" si="6"/>
        <v>8</v>
      </c>
      <c r="B110" s="516">
        <f t="shared" si="7"/>
        <v>30000</v>
      </c>
      <c r="C110" s="516">
        <f t="shared" si="11"/>
        <v>10000</v>
      </c>
      <c r="D110" s="516">
        <f t="shared" si="8"/>
        <v>2100</v>
      </c>
      <c r="E110" s="642">
        <f t="shared" si="9"/>
        <v>12100</v>
      </c>
      <c r="F110" s="516">
        <f t="shared" si="10"/>
        <v>20000</v>
      </c>
    </row>
    <row r="111" spans="1:9" ht="16" x14ac:dyDescent="0.2">
      <c r="A111" s="184">
        <f t="shared" si="6"/>
        <v>9</v>
      </c>
      <c r="B111" s="516">
        <f t="shared" si="7"/>
        <v>20000</v>
      </c>
      <c r="C111" s="516">
        <f t="shared" si="11"/>
        <v>10000</v>
      </c>
      <c r="D111" s="516">
        <f t="shared" si="8"/>
        <v>1400.0000000000002</v>
      </c>
      <c r="E111" s="516">
        <f t="shared" si="9"/>
        <v>11400</v>
      </c>
      <c r="F111" s="516">
        <f t="shared" si="10"/>
        <v>10000</v>
      </c>
    </row>
    <row r="112" spans="1:9" ht="16" x14ac:dyDescent="0.2">
      <c r="A112" s="184">
        <f t="shared" si="6"/>
        <v>10</v>
      </c>
      <c r="B112" s="516">
        <f t="shared" si="7"/>
        <v>10000</v>
      </c>
      <c r="C112" s="516">
        <f t="shared" si="11"/>
        <v>10000</v>
      </c>
      <c r="D112" s="516">
        <f t="shared" si="8"/>
        <v>700.00000000000011</v>
      </c>
      <c r="E112" s="516">
        <f t="shared" si="9"/>
        <v>10700</v>
      </c>
      <c r="F112" s="516">
        <f t="shared" si="10"/>
        <v>0</v>
      </c>
    </row>
    <row r="114" spans="1:10" x14ac:dyDescent="0.2">
      <c r="A114" s="185" t="s">
        <v>1657</v>
      </c>
      <c r="B114" s="87"/>
      <c r="C114" s="87"/>
    </row>
    <row r="115" spans="1:10" x14ac:dyDescent="0.2">
      <c r="H115" s="47" t="s">
        <v>1467</v>
      </c>
      <c r="I115" s="47" t="s">
        <v>1655</v>
      </c>
      <c r="J115" s="47" t="s">
        <v>1656</v>
      </c>
    </row>
    <row r="116" spans="1:10" x14ac:dyDescent="0.2">
      <c r="A116" s="43" t="s">
        <v>1658</v>
      </c>
    </row>
    <row r="118" spans="1:10" x14ac:dyDescent="0.2">
      <c r="A118" s="43" t="s">
        <v>1659</v>
      </c>
    </row>
    <row r="120" spans="1:10" x14ac:dyDescent="0.2">
      <c r="A120" s="43" t="s">
        <v>1660</v>
      </c>
    </row>
    <row r="122" spans="1:10" x14ac:dyDescent="0.2">
      <c r="A122" s="43" t="s">
        <v>1661</v>
      </c>
    </row>
    <row r="125" spans="1:10" x14ac:dyDescent="0.2">
      <c r="A125" s="185" t="s">
        <v>1662</v>
      </c>
    </row>
    <row r="128" spans="1:10" x14ac:dyDescent="0.2">
      <c r="C128" s="750">
        <f>7%*30000+10000</f>
        <v>12100</v>
      </c>
    </row>
    <row r="129" spans="1:8" x14ac:dyDescent="0.2">
      <c r="C129" s="750"/>
    </row>
    <row r="131" spans="1:8" x14ac:dyDescent="0.2">
      <c r="A131" s="185" t="s">
        <v>1663</v>
      </c>
    </row>
    <row r="132" spans="1:8" x14ac:dyDescent="0.2">
      <c r="A132" s="43" t="s">
        <v>1664</v>
      </c>
    </row>
    <row r="138" spans="1:8" x14ac:dyDescent="0.2">
      <c r="A138" s="180" t="s">
        <v>2787</v>
      </c>
      <c r="B138" s="180"/>
      <c r="C138" s="180"/>
      <c r="D138" s="180"/>
      <c r="E138" s="180"/>
      <c r="F138" s="180"/>
      <c r="G138" s="180"/>
      <c r="H138" s="180"/>
    </row>
    <row r="139" spans="1:8" x14ac:dyDescent="0.2">
      <c r="A139" s="43" t="s">
        <v>1665</v>
      </c>
    </row>
    <row r="140" spans="1:8" x14ac:dyDescent="0.2">
      <c r="A140" s="43" t="s">
        <v>1666</v>
      </c>
    </row>
    <row r="141" spans="1:8" x14ac:dyDescent="0.2">
      <c r="A141" s="43" t="s">
        <v>1667</v>
      </c>
    </row>
    <row r="142" spans="1:8" x14ac:dyDescent="0.2">
      <c r="A142" s="43" t="s">
        <v>1668</v>
      </c>
    </row>
    <row r="144" spans="1:8" x14ac:dyDescent="0.2">
      <c r="A144" s="44" t="s">
        <v>1669</v>
      </c>
      <c r="B144" s="44"/>
      <c r="C144" s="44"/>
      <c r="D144" s="44"/>
      <c r="E144" s="44"/>
      <c r="F144" s="44"/>
      <c r="G144" s="44"/>
      <c r="H144" s="44"/>
    </row>
    <row r="145" spans="1:6" x14ac:dyDescent="0.2">
      <c r="A145" s="43" t="s">
        <v>1670</v>
      </c>
    </row>
    <row r="146" spans="1:6" x14ac:dyDescent="0.2">
      <c r="A146" s="43" t="s">
        <v>1671</v>
      </c>
    </row>
    <row r="148" spans="1:6" x14ac:dyDescent="0.2">
      <c r="A148" s="43" t="s">
        <v>2788</v>
      </c>
    </row>
    <row r="149" spans="1:6" x14ac:dyDescent="0.2">
      <c r="A149" s="43" t="s">
        <v>1672</v>
      </c>
    </row>
    <row r="150" spans="1:6" x14ac:dyDescent="0.2">
      <c r="A150" s="43" t="s">
        <v>1673</v>
      </c>
    </row>
    <row r="151" spans="1:6" x14ac:dyDescent="0.2">
      <c r="D151" s="288"/>
      <c r="E151" s="29" t="s">
        <v>772</v>
      </c>
    </row>
    <row r="152" spans="1:6" x14ac:dyDescent="0.2">
      <c r="D152" s="701" t="s">
        <v>1674</v>
      </c>
      <c r="E152" s="703" t="s">
        <v>1675</v>
      </c>
    </row>
    <row r="153" spans="1:6" x14ac:dyDescent="0.2">
      <c r="D153" s="702" t="s">
        <v>1676</v>
      </c>
      <c r="E153" s="702" t="s">
        <v>1677</v>
      </c>
    </row>
    <row r="154" spans="1:6" x14ac:dyDescent="0.2">
      <c r="D154" s="439">
        <f>E154</f>
        <v>0.01</v>
      </c>
      <c r="E154" s="643">
        <f>12%/12</f>
        <v>0.01</v>
      </c>
      <c r="F154" s="43" t="s">
        <v>87</v>
      </c>
    </row>
    <row r="155" spans="1:6" x14ac:dyDescent="0.2">
      <c r="D155" s="29">
        <v>55</v>
      </c>
      <c r="E155" s="29">
        <v>5</v>
      </c>
      <c r="F155" s="43" t="s">
        <v>89</v>
      </c>
    </row>
    <row r="156" spans="1:6" x14ac:dyDescent="0.2">
      <c r="D156" s="293">
        <f>-E158</f>
        <v>210202.01001999999</v>
      </c>
      <c r="E156" s="29">
        <v>200000</v>
      </c>
      <c r="F156" s="43" t="s">
        <v>281</v>
      </c>
    </row>
    <row r="157" spans="1:6" x14ac:dyDescent="0.2">
      <c r="C157" s="43" t="s">
        <v>1555</v>
      </c>
      <c r="D157" s="644">
        <f>PMT(D154,D155,D156,D158)</f>
        <v>-4987.3312849437661</v>
      </c>
      <c r="E157" s="29">
        <v>0</v>
      </c>
      <c r="F157" s="43" t="s">
        <v>91</v>
      </c>
    </row>
    <row r="158" spans="1:6" x14ac:dyDescent="0.2">
      <c r="C158" s="288"/>
      <c r="D158" s="29">
        <v>0</v>
      </c>
      <c r="E158" s="490">
        <f>FV(E154,E155,E157,E156)</f>
        <v>-210202.01001999999</v>
      </c>
      <c r="F158" s="43" t="s">
        <v>105</v>
      </c>
    </row>
    <row r="160" spans="1:6" x14ac:dyDescent="0.2">
      <c r="A160" s="43" t="s">
        <v>1678</v>
      </c>
    </row>
    <row r="161" spans="1:8" ht="16" x14ac:dyDescent="0.2">
      <c r="A161" s="92"/>
      <c r="B161" s="92"/>
      <c r="C161" s="187" t="s">
        <v>1467</v>
      </c>
      <c r="D161" s="187" t="s">
        <v>1527</v>
      </c>
      <c r="E161" s="187" t="s">
        <v>1469</v>
      </c>
      <c r="F161" s="187" t="s">
        <v>1470</v>
      </c>
    </row>
    <row r="162" spans="1:8" ht="16" x14ac:dyDescent="0.2">
      <c r="A162" s="169" t="s">
        <v>1448</v>
      </c>
      <c r="B162" s="169" t="s">
        <v>1449</v>
      </c>
      <c r="C162" s="169" t="s">
        <v>1450</v>
      </c>
      <c r="D162" s="169" t="s">
        <v>1451</v>
      </c>
      <c r="E162" s="169" t="s">
        <v>1452</v>
      </c>
      <c r="F162" s="169" t="s">
        <v>1453</v>
      </c>
    </row>
    <row r="163" spans="1:8" ht="16" x14ac:dyDescent="0.2">
      <c r="A163" s="184">
        <v>0</v>
      </c>
      <c r="B163" s="170"/>
      <c r="C163" s="170"/>
      <c r="D163" s="170"/>
      <c r="E163" s="170"/>
      <c r="F163" s="171">
        <v>200000</v>
      </c>
    </row>
    <row r="164" spans="1:8" ht="16" x14ac:dyDescent="0.2">
      <c r="A164" s="184">
        <f>A163+1</f>
        <v>1</v>
      </c>
      <c r="B164" s="171">
        <f>F163</f>
        <v>200000</v>
      </c>
      <c r="C164" s="171">
        <v>0</v>
      </c>
      <c r="D164" s="171">
        <v>0</v>
      </c>
      <c r="E164" s="171">
        <v>0</v>
      </c>
      <c r="F164" s="171">
        <f>B164*(1+12%/12)</f>
        <v>202000</v>
      </c>
    </row>
    <row r="165" spans="1:8" ht="16" x14ac:dyDescent="0.2">
      <c r="A165" s="184">
        <f t="shared" ref="A165:A169" si="12">A164+1</f>
        <v>2</v>
      </c>
      <c r="B165" s="171">
        <f>F164</f>
        <v>202000</v>
      </c>
      <c r="C165" s="171">
        <v>0</v>
      </c>
      <c r="D165" s="171">
        <v>0</v>
      </c>
      <c r="E165" s="171">
        <v>0</v>
      </c>
      <c r="F165" s="171">
        <f>B165*(1+12%/12)</f>
        <v>204020</v>
      </c>
    </row>
    <row r="166" spans="1:8" ht="16" x14ac:dyDescent="0.2">
      <c r="A166" s="184">
        <f t="shared" si="12"/>
        <v>3</v>
      </c>
      <c r="B166" s="171">
        <f t="shared" ref="B166:B170" si="13">F165</f>
        <v>204020</v>
      </c>
      <c r="C166" s="171">
        <v>0</v>
      </c>
      <c r="D166" s="171">
        <v>0</v>
      </c>
      <c r="E166" s="171">
        <v>0</v>
      </c>
      <c r="F166" s="171">
        <f t="shared" ref="F166:F168" si="14">B166*(1+12%/12)</f>
        <v>206060.2</v>
      </c>
    </row>
    <row r="167" spans="1:8" ht="16" x14ac:dyDescent="0.2">
      <c r="A167" s="184">
        <f t="shared" si="12"/>
        <v>4</v>
      </c>
      <c r="B167" s="171">
        <f t="shared" si="13"/>
        <v>206060.2</v>
      </c>
      <c r="C167" s="171">
        <v>0</v>
      </c>
      <c r="D167" s="171">
        <v>0</v>
      </c>
      <c r="E167" s="171">
        <v>0</v>
      </c>
      <c r="F167" s="171">
        <f t="shared" si="14"/>
        <v>208120.80200000003</v>
      </c>
    </row>
    <row r="168" spans="1:8" ht="16" x14ac:dyDescent="0.2">
      <c r="A168" s="184">
        <f t="shared" si="12"/>
        <v>5</v>
      </c>
      <c r="B168" s="171">
        <f t="shared" si="13"/>
        <v>208120.80200000003</v>
      </c>
      <c r="C168" s="171">
        <v>0</v>
      </c>
      <c r="D168" s="171">
        <v>0</v>
      </c>
      <c r="E168" s="171">
        <v>0</v>
      </c>
      <c r="F168" s="171">
        <f t="shared" si="14"/>
        <v>210202.01002000002</v>
      </c>
    </row>
    <row r="169" spans="1:8" ht="16" x14ac:dyDescent="0.2">
      <c r="A169" s="184">
        <f t="shared" si="12"/>
        <v>6</v>
      </c>
      <c r="B169" s="171">
        <f t="shared" si="13"/>
        <v>210202.01002000002</v>
      </c>
      <c r="C169" s="171">
        <f>-PPMT(1%,A169-5,55,F168)</f>
        <v>2885.3111847437667</v>
      </c>
      <c r="D169" s="171">
        <f>-IPMT(1%,A169-5,55,F168)</f>
        <v>2102.0201002000003</v>
      </c>
      <c r="E169" s="171">
        <f>-PMT(1%,55,F168)</f>
        <v>4987.3312849437671</v>
      </c>
      <c r="F169" s="171">
        <f>-PV(1%,55-(A169-5),E169)</f>
        <v>207316.69883525642</v>
      </c>
    </row>
    <row r="170" spans="1:8" ht="16" x14ac:dyDescent="0.2">
      <c r="A170" s="184">
        <f>A169+1</f>
        <v>7</v>
      </c>
      <c r="B170" s="171">
        <f t="shared" si="13"/>
        <v>207316.69883525642</v>
      </c>
      <c r="C170" s="171">
        <f>-PPMT(1%,A170-5,55,F169)</f>
        <v>2874.163390613498</v>
      </c>
      <c r="D170" s="171">
        <f>-IPMT(1%,A170-5,55,F169)</f>
        <v>2044.7099250791632</v>
      </c>
      <c r="E170" s="186">
        <f>E169</f>
        <v>4987.3312849437671</v>
      </c>
      <c r="F170" s="171">
        <f>-PV(1%,55-(A170-5),E170)</f>
        <v>204402.53453866515</v>
      </c>
    </row>
    <row r="172" spans="1:8" x14ac:dyDescent="0.2">
      <c r="A172" s="180" t="s">
        <v>1679</v>
      </c>
      <c r="B172" s="180"/>
      <c r="C172" s="180"/>
      <c r="D172" s="180"/>
      <c r="E172" s="180"/>
      <c r="F172" s="180"/>
      <c r="G172" s="180"/>
      <c r="H172" s="180"/>
    </row>
    <row r="173" spans="1:8" x14ac:dyDescent="0.2">
      <c r="A173" s="43" t="s">
        <v>1680</v>
      </c>
    </row>
    <row r="174" spans="1:8" x14ac:dyDescent="0.2">
      <c r="A174" s="43" t="s">
        <v>1681</v>
      </c>
    </row>
    <row r="175" spans="1:8" x14ac:dyDescent="0.2">
      <c r="A175" s="43" t="s">
        <v>1682</v>
      </c>
    </row>
    <row r="177" spans="1:6" x14ac:dyDescent="0.2">
      <c r="A177" s="43" t="s">
        <v>111</v>
      </c>
    </row>
    <row r="178" spans="1:6" x14ac:dyDescent="0.2">
      <c r="A178" s="43" t="s">
        <v>1683</v>
      </c>
    </row>
    <row r="179" spans="1:6" x14ac:dyDescent="0.2">
      <c r="A179" s="43" t="s">
        <v>1684</v>
      </c>
    </row>
    <row r="181" spans="1:6" x14ac:dyDescent="0.2">
      <c r="E181" s="313" t="s">
        <v>1675</v>
      </c>
    </row>
    <row r="182" spans="1:6" x14ac:dyDescent="0.2">
      <c r="E182" s="518" t="s">
        <v>1677</v>
      </c>
    </row>
    <row r="183" spans="1:6" x14ac:dyDescent="0.2">
      <c r="E183" s="203">
        <f>12%/12</f>
        <v>0.01</v>
      </c>
      <c r="F183" s="43" t="s">
        <v>87</v>
      </c>
    </row>
    <row r="184" spans="1:6" x14ac:dyDescent="0.2">
      <c r="E184" s="47">
        <v>5</v>
      </c>
      <c r="F184" s="43" t="s">
        <v>89</v>
      </c>
    </row>
    <row r="185" spans="1:6" x14ac:dyDescent="0.2">
      <c r="E185" s="47">
        <v>200000</v>
      </c>
      <c r="F185" s="43" t="s">
        <v>281</v>
      </c>
    </row>
    <row r="186" spans="1:6" ht="16" thickBot="1" x14ac:dyDescent="0.25">
      <c r="E186" s="47">
        <v>0</v>
      </c>
      <c r="F186" s="43" t="s">
        <v>91</v>
      </c>
    </row>
    <row r="187" spans="1:6" ht="16" thickBot="1" x14ac:dyDescent="0.25">
      <c r="A187" s="66" t="s">
        <v>1685</v>
      </c>
      <c r="B187" s="67"/>
      <c r="C187" s="67"/>
      <c r="D187" s="67"/>
      <c r="E187" s="519">
        <f>FV(E183,E184,E186,E185)</f>
        <v>-210202.01001999999</v>
      </c>
      <c r="F187" s="208" t="s">
        <v>105</v>
      </c>
    </row>
    <row r="189" spans="1:6" x14ac:dyDescent="0.2">
      <c r="A189" s="43" t="s">
        <v>2789</v>
      </c>
    </row>
    <row r="191" spans="1:6" x14ac:dyDescent="0.2">
      <c r="A191" s="185" t="s">
        <v>1686</v>
      </c>
    </row>
    <row r="193" spans="1:7" x14ac:dyDescent="0.2">
      <c r="F193" s="43" t="s">
        <v>1687</v>
      </c>
    </row>
    <row r="194" spans="1:7" x14ac:dyDescent="0.2">
      <c r="A194" s="44" t="s">
        <v>196</v>
      </c>
      <c r="B194" s="44"/>
      <c r="C194" s="521">
        <f>210202*1%+210202/55</f>
        <v>5923.874545454546</v>
      </c>
      <c r="F194" s="43" t="s">
        <v>1688</v>
      </c>
    </row>
    <row r="196" spans="1:7" x14ac:dyDescent="0.2">
      <c r="D196" s="43" t="s">
        <v>2791</v>
      </c>
      <c r="F196" s="43" t="s">
        <v>2790</v>
      </c>
    </row>
    <row r="197" spans="1:7" x14ac:dyDescent="0.2">
      <c r="D197" s="43" t="s">
        <v>2792</v>
      </c>
    </row>
    <row r="199" spans="1:7" x14ac:dyDescent="0.2">
      <c r="A199" s="185" t="s">
        <v>1689</v>
      </c>
    </row>
    <row r="200" spans="1:7" x14ac:dyDescent="0.2">
      <c r="A200" s="43" t="s">
        <v>2793</v>
      </c>
    </row>
    <row r="202" spans="1:7" x14ac:dyDescent="0.2">
      <c r="F202" s="43" t="s">
        <v>1690</v>
      </c>
    </row>
    <row r="203" spans="1:7" x14ac:dyDescent="0.2">
      <c r="B203" s="520">
        <f>210202/55*52*1%+210202/55</f>
        <v>5809.2189090909096</v>
      </c>
      <c r="F203" s="43" t="s">
        <v>3327</v>
      </c>
    </row>
    <row r="205" spans="1:7" x14ac:dyDescent="0.2">
      <c r="C205" s="43" t="s">
        <v>2791</v>
      </c>
      <c r="E205" s="43" t="s">
        <v>2794</v>
      </c>
    </row>
    <row r="206" spans="1:7" x14ac:dyDescent="0.2">
      <c r="C206" s="43" t="s">
        <v>2802</v>
      </c>
      <c r="E206" s="43" t="s">
        <v>2795</v>
      </c>
    </row>
    <row r="207" spans="1:7" x14ac:dyDescent="0.2">
      <c r="C207" s="43" t="s">
        <v>2792</v>
      </c>
      <c r="E207" s="43" t="s">
        <v>2796</v>
      </c>
      <c r="G207" s="43" t="s">
        <v>2798</v>
      </c>
    </row>
    <row r="208" spans="1:7" x14ac:dyDescent="0.2">
      <c r="E208" s="43" t="s">
        <v>2797</v>
      </c>
      <c r="G208" s="43" t="s">
        <v>2799</v>
      </c>
    </row>
    <row r="209" spans="1:8" x14ac:dyDescent="0.2">
      <c r="E209" s="43" t="s">
        <v>2800</v>
      </c>
      <c r="G209" s="43" t="s">
        <v>2801</v>
      </c>
    </row>
    <row r="212" spans="1:8" x14ac:dyDescent="0.2">
      <c r="A212" s="43" t="s">
        <v>1691</v>
      </c>
    </row>
    <row r="213" spans="1:8" ht="16" x14ac:dyDescent="0.2">
      <c r="A213" s="92"/>
      <c r="B213" s="92"/>
      <c r="C213" s="187" t="s">
        <v>1467</v>
      </c>
      <c r="D213" s="187" t="s">
        <v>1527</v>
      </c>
      <c r="E213" s="187" t="s">
        <v>1469</v>
      </c>
      <c r="F213" s="187" t="s">
        <v>1470</v>
      </c>
    </row>
    <row r="214" spans="1:8" ht="16" x14ac:dyDescent="0.2">
      <c r="A214" s="169" t="s">
        <v>1448</v>
      </c>
      <c r="B214" s="169" t="s">
        <v>1449</v>
      </c>
      <c r="C214" s="169" t="s">
        <v>1450</v>
      </c>
      <c r="D214" s="169" t="s">
        <v>1451</v>
      </c>
      <c r="E214" s="169" t="s">
        <v>1452</v>
      </c>
      <c r="F214" s="169" t="s">
        <v>1453</v>
      </c>
    </row>
    <row r="215" spans="1:8" ht="16" x14ac:dyDescent="0.2">
      <c r="A215" s="184">
        <v>0</v>
      </c>
      <c r="B215" s="170"/>
      <c r="C215" s="170"/>
      <c r="D215" s="170"/>
      <c r="E215" s="170"/>
      <c r="F215" s="171">
        <v>200000</v>
      </c>
    </row>
    <row r="216" spans="1:8" ht="16" x14ac:dyDescent="0.2">
      <c r="A216" s="184">
        <f>A215+1</f>
        <v>1</v>
      </c>
      <c r="B216" s="171">
        <f>F215</f>
        <v>200000</v>
      </c>
      <c r="C216" s="171">
        <v>0</v>
      </c>
      <c r="D216" s="171">
        <v>0</v>
      </c>
      <c r="E216" s="171">
        <v>0</v>
      </c>
      <c r="F216" s="171">
        <f>B216*(1+1%)</f>
        <v>202000</v>
      </c>
    </row>
    <row r="217" spans="1:8" ht="16" x14ac:dyDescent="0.2">
      <c r="A217" s="184">
        <f t="shared" ref="A217:A221" si="15">A216+1</f>
        <v>2</v>
      </c>
      <c r="B217" s="171">
        <f t="shared" ref="B217:B222" si="16">F216</f>
        <v>202000</v>
      </c>
      <c r="C217" s="171">
        <v>0</v>
      </c>
      <c r="D217" s="171">
        <v>0</v>
      </c>
      <c r="E217" s="171">
        <v>0</v>
      </c>
      <c r="F217" s="171">
        <f t="shared" ref="F217:F220" si="17">B217*(1+1%)</f>
        <v>204020</v>
      </c>
    </row>
    <row r="218" spans="1:8" ht="16" x14ac:dyDescent="0.2">
      <c r="A218" s="184">
        <f t="shared" si="15"/>
        <v>3</v>
      </c>
      <c r="B218" s="171">
        <f t="shared" si="16"/>
        <v>204020</v>
      </c>
      <c r="C218" s="171">
        <v>0</v>
      </c>
      <c r="D218" s="171">
        <v>0</v>
      </c>
      <c r="E218" s="171">
        <v>0</v>
      </c>
      <c r="F218" s="171">
        <f t="shared" si="17"/>
        <v>206060.2</v>
      </c>
    </row>
    <row r="219" spans="1:8" ht="16" x14ac:dyDescent="0.2">
      <c r="A219" s="184">
        <f t="shared" si="15"/>
        <v>4</v>
      </c>
      <c r="B219" s="171">
        <f t="shared" si="16"/>
        <v>206060.2</v>
      </c>
      <c r="C219" s="171">
        <v>0</v>
      </c>
      <c r="D219" s="171">
        <v>0</v>
      </c>
      <c r="E219" s="171">
        <v>0</v>
      </c>
      <c r="F219" s="171">
        <f t="shared" si="17"/>
        <v>208120.80200000003</v>
      </c>
    </row>
    <row r="220" spans="1:8" ht="16" x14ac:dyDescent="0.2">
      <c r="A220" s="184">
        <f t="shared" si="15"/>
        <v>5</v>
      </c>
      <c r="B220" s="171">
        <f t="shared" si="16"/>
        <v>208120.80200000003</v>
      </c>
      <c r="C220" s="171">
        <v>0</v>
      </c>
      <c r="D220" s="171">
        <v>0</v>
      </c>
      <c r="E220" s="171">
        <v>0</v>
      </c>
      <c r="F220" s="171">
        <f t="shared" si="17"/>
        <v>210202.01002000002</v>
      </c>
    </row>
    <row r="221" spans="1:8" ht="16" x14ac:dyDescent="0.2">
      <c r="A221" s="184">
        <f t="shared" si="15"/>
        <v>6</v>
      </c>
      <c r="B221" s="171">
        <f t="shared" si="16"/>
        <v>210202.01002000002</v>
      </c>
      <c r="C221" s="171">
        <f>F220/55</f>
        <v>3821.8547276363638</v>
      </c>
      <c r="D221" s="171">
        <f>1%*B221</f>
        <v>2102.0201002000003</v>
      </c>
      <c r="E221" s="171">
        <f>C221+D221</f>
        <v>5923.8748278363637</v>
      </c>
      <c r="F221" s="171">
        <f>B221-C221</f>
        <v>206380.15529236366</v>
      </c>
    </row>
    <row r="222" spans="1:8" ht="16" x14ac:dyDescent="0.2">
      <c r="A222" s="184">
        <f>A221+1</f>
        <v>7</v>
      </c>
      <c r="B222" s="171">
        <f t="shared" si="16"/>
        <v>206380.15529236366</v>
      </c>
      <c r="C222" s="171">
        <f>C221</f>
        <v>3821.8547276363638</v>
      </c>
      <c r="D222" s="171">
        <f>1%*B222</f>
        <v>2063.8015529236368</v>
      </c>
      <c r="E222" s="186">
        <f>C222+D222</f>
        <v>5885.6562805600006</v>
      </c>
      <c r="F222" s="171">
        <f>B222-C222</f>
        <v>202558.30056472731</v>
      </c>
    </row>
    <row r="224" spans="1:8" x14ac:dyDescent="0.2">
      <c r="A224" s="180" t="s">
        <v>1692</v>
      </c>
      <c r="B224" s="180"/>
      <c r="C224" s="180"/>
      <c r="D224" s="180"/>
      <c r="E224" s="180"/>
      <c r="F224" s="180"/>
      <c r="G224" s="180"/>
      <c r="H224" s="180"/>
    </row>
    <row r="225" spans="1:7" x14ac:dyDescent="0.2">
      <c r="A225" s="43" t="s">
        <v>1693</v>
      </c>
    </row>
    <row r="226" spans="1:7" x14ac:dyDescent="0.2">
      <c r="A226" s="43" t="s">
        <v>1694</v>
      </c>
    </row>
    <row r="227" spans="1:7" x14ac:dyDescent="0.2">
      <c r="A227" s="43" t="s">
        <v>1695</v>
      </c>
    </row>
    <row r="229" spans="1:7" x14ac:dyDescent="0.2">
      <c r="A229" s="43" t="s">
        <v>111</v>
      </c>
    </row>
    <row r="230" spans="1:7" x14ac:dyDescent="0.2">
      <c r="A230" s="43" t="s">
        <v>2803</v>
      </c>
    </row>
    <row r="231" spans="1:7" x14ac:dyDescent="0.2">
      <c r="A231" s="43" t="s">
        <v>2804</v>
      </c>
    </row>
    <row r="233" spans="1:7" ht="34" x14ac:dyDescent="0.2">
      <c r="A233" s="92"/>
      <c r="B233" s="92"/>
      <c r="C233" s="187" t="s">
        <v>1467</v>
      </c>
      <c r="D233" s="188" t="s">
        <v>1696</v>
      </c>
      <c r="E233" s="187" t="s">
        <v>1469</v>
      </c>
      <c r="F233" s="187" t="s">
        <v>1470</v>
      </c>
    </row>
    <row r="234" spans="1:7" ht="16" x14ac:dyDescent="0.2">
      <c r="A234" s="169" t="s">
        <v>1448</v>
      </c>
      <c r="B234" s="169" t="s">
        <v>1449</v>
      </c>
      <c r="C234" s="169" t="s">
        <v>1450</v>
      </c>
      <c r="D234" s="169" t="s">
        <v>1451</v>
      </c>
      <c r="E234" s="169" t="s">
        <v>1452</v>
      </c>
      <c r="F234" s="169" t="s">
        <v>1453</v>
      </c>
    </row>
    <row r="235" spans="1:7" ht="16" x14ac:dyDescent="0.2">
      <c r="A235" s="184">
        <v>0</v>
      </c>
      <c r="B235" s="170"/>
      <c r="C235" s="170"/>
      <c r="D235" s="170"/>
      <c r="E235" s="170"/>
      <c r="F235" s="189" t="s">
        <v>734</v>
      </c>
      <c r="G235" s="43" t="s">
        <v>2756</v>
      </c>
    </row>
    <row r="236" spans="1:7" ht="16" x14ac:dyDescent="0.2">
      <c r="A236" s="184">
        <f>A235+1</f>
        <v>1</v>
      </c>
      <c r="B236" s="516"/>
      <c r="C236" s="516">
        <v>0</v>
      </c>
      <c r="D236" s="516">
        <v>0</v>
      </c>
      <c r="E236" s="516">
        <v>0</v>
      </c>
      <c r="F236" s="516"/>
    </row>
    <row r="237" spans="1:7" ht="16" x14ac:dyDescent="0.2">
      <c r="A237" s="184">
        <f t="shared" ref="A237:A241" si="18">A236+1</f>
        <v>2</v>
      </c>
      <c r="B237" s="516"/>
      <c r="C237" s="516">
        <v>0</v>
      </c>
      <c r="D237" s="516">
        <v>0</v>
      </c>
      <c r="E237" s="516">
        <v>0</v>
      </c>
      <c r="F237" s="516"/>
    </row>
    <row r="238" spans="1:7" ht="16" x14ac:dyDescent="0.2">
      <c r="A238" s="184">
        <f t="shared" si="18"/>
        <v>3</v>
      </c>
      <c r="B238" s="516"/>
      <c r="C238" s="516">
        <v>0</v>
      </c>
      <c r="D238" s="516">
        <v>0</v>
      </c>
      <c r="E238" s="516">
        <v>0</v>
      </c>
      <c r="F238" s="516"/>
    </row>
    <row r="239" spans="1:7" ht="16" x14ac:dyDescent="0.2">
      <c r="A239" s="184">
        <f t="shared" si="18"/>
        <v>4</v>
      </c>
      <c r="B239" s="516"/>
      <c r="C239" s="516">
        <v>0</v>
      </c>
      <c r="D239" s="516">
        <v>0</v>
      </c>
      <c r="E239" s="516">
        <v>0</v>
      </c>
      <c r="F239" s="516"/>
    </row>
    <row r="240" spans="1:7" ht="16" x14ac:dyDescent="0.2">
      <c r="A240" s="184">
        <f t="shared" si="18"/>
        <v>5</v>
      </c>
      <c r="B240" s="516"/>
      <c r="C240" s="516">
        <v>0</v>
      </c>
      <c r="D240" s="516">
        <v>0</v>
      </c>
      <c r="E240" s="516">
        <v>0</v>
      </c>
      <c r="F240" s="516"/>
    </row>
    <row r="241" spans="1:9" ht="16" x14ac:dyDescent="0.2">
      <c r="A241" s="184">
        <f t="shared" si="18"/>
        <v>6</v>
      </c>
      <c r="B241" s="516"/>
      <c r="C241" s="516">
        <v>0</v>
      </c>
      <c r="D241" s="516">
        <v>0</v>
      </c>
      <c r="E241" s="516">
        <v>0</v>
      </c>
      <c r="F241" s="522">
        <f>B242</f>
        <v>1500000</v>
      </c>
      <c r="G241" s="43" t="s">
        <v>580</v>
      </c>
    </row>
    <row r="242" spans="1:9" ht="16" x14ac:dyDescent="0.2">
      <c r="A242" s="184">
        <f>A241+1</f>
        <v>7</v>
      </c>
      <c r="B242" s="522">
        <f>15000/1%</f>
        <v>1500000</v>
      </c>
      <c r="C242" s="516"/>
      <c r="D242" s="516">
        <v>15000</v>
      </c>
      <c r="E242" s="290"/>
      <c r="F242" s="516"/>
      <c r="I242" s="43" t="s">
        <v>2805</v>
      </c>
    </row>
    <row r="243" spans="1:9" x14ac:dyDescent="0.2">
      <c r="I243" s="43" t="s">
        <v>2806</v>
      </c>
    </row>
    <row r="244" spans="1:9" x14ac:dyDescent="0.2">
      <c r="A244" s="43" t="s">
        <v>1697</v>
      </c>
    </row>
    <row r="245" spans="1:9" x14ac:dyDescent="0.2">
      <c r="A245" s="43" t="s">
        <v>1698</v>
      </c>
    </row>
    <row r="250" spans="1:9" x14ac:dyDescent="0.2">
      <c r="A250" s="43" t="s">
        <v>1699</v>
      </c>
    </row>
    <row r="251" spans="1:9" x14ac:dyDescent="0.2">
      <c r="A251" s="43" t="s">
        <v>1700</v>
      </c>
    </row>
    <row r="252" spans="1:9" x14ac:dyDescent="0.2">
      <c r="A252" s="43" t="s">
        <v>1701</v>
      </c>
    </row>
    <row r="254" spans="1:9" x14ac:dyDescent="0.2">
      <c r="D254" s="54">
        <v>0.01</v>
      </c>
      <c r="E254" s="43" t="s">
        <v>87</v>
      </c>
    </row>
    <row r="255" spans="1:9" x14ac:dyDescent="0.2">
      <c r="A255" s="43" t="s">
        <v>1702</v>
      </c>
      <c r="D255" s="47">
        <v>6</v>
      </c>
      <c r="E255" s="43" t="s">
        <v>89</v>
      </c>
    </row>
    <row r="256" spans="1:9" ht="16" x14ac:dyDescent="0.2">
      <c r="A256" s="43" t="s">
        <v>1703</v>
      </c>
      <c r="D256" s="190">
        <f>PV(D254,D255,D257,D258)</f>
        <v>-1413067.8528813098</v>
      </c>
      <c r="E256" s="43" t="s">
        <v>281</v>
      </c>
      <c r="F256" s="43" t="s">
        <v>1704</v>
      </c>
    </row>
    <row r="257" spans="1:7" x14ac:dyDescent="0.2">
      <c r="A257" s="43" t="s">
        <v>1705</v>
      </c>
      <c r="D257" s="47">
        <v>0</v>
      </c>
      <c r="E257" s="43" t="s">
        <v>91</v>
      </c>
    </row>
    <row r="258" spans="1:7" x14ac:dyDescent="0.2">
      <c r="A258" s="43" t="s">
        <v>1706</v>
      </c>
      <c r="D258" s="48">
        <f>F241</f>
        <v>1500000</v>
      </c>
      <c r="E258" s="43" t="s">
        <v>105</v>
      </c>
    </row>
    <row r="260" spans="1:7" x14ac:dyDescent="0.2">
      <c r="A260" s="191" t="s">
        <v>1707</v>
      </c>
      <c r="B260" s="192"/>
      <c r="C260" s="192"/>
      <c r="D260" s="192"/>
      <c r="E260" s="192"/>
      <c r="F260" s="192"/>
      <c r="G260" s="193"/>
    </row>
    <row r="261" spans="1:7" x14ac:dyDescent="0.2">
      <c r="A261" s="194" t="s">
        <v>1708</v>
      </c>
      <c r="G261" s="195"/>
    </row>
    <row r="262" spans="1:7" x14ac:dyDescent="0.2">
      <c r="A262" s="196" t="s">
        <v>1709</v>
      </c>
      <c r="B262" s="59"/>
      <c r="C262" s="59"/>
      <c r="D262" s="59"/>
      <c r="E262" s="59"/>
      <c r="F262" s="59"/>
      <c r="G262" s="197"/>
    </row>
    <row r="266" spans="1:7" x14ac:dyDescent="0.2">
      <c r="B266" s="43" t="s">
        <v>2807</v>
      </c>
      <c r="D266" s="43" t="s">
        <v>2808</v>
      </c>
      <c r="E266" s="43" t="s">
        <v>2812</v>
      </c>
    </row>
    <row r="267" spans="1:7" x14ac:dyDescent="0.2">
      <c r="B267" s="43" t="s">
        <v>3328</v>
      </c>
      <c r="D267" s="43" t="s">
        <v>2809</v>
      </c>
      <c r="E267" s="43" t="s">
        <v>2813</v>
      </c>
    </row>
    <row r="268" spans="1:7" x14ac:dyDescent="0.2">
      <c r="D268" s="43" t="s">
        <v>2810</v>
      </c>
      <c r="E268" s="43" t="s">
        <v>3330</v>
      </c>
    </row>
    <row r="269" spans="1:7" x14ac:dyDescent="0.2">
      <c r="D269" s="43" t="s">
        <v>2811</v>
      </c>
    </row>
    <row r="270" spans="1:7" x14ac:dyDescent="0.2">
      <c r="D270" s="43" t="s">
        <v>3329</v>
      </c>
    </row>
    <row r="273" spans="1:8" x14ac:dyDescent="0.2">
      <c r="D273" s="704" t="s">
        <v>892</v>
      </c>
    </row>
    <row r="275" spans="1:8" x14ac:dyDescent="0.2">
      <c r="A275" s="705" t="s">
        <v>3331</v>
      </c>
      <c r="B275" s="705"/>
      <c r="C275" s="705"/>
      <c r="D275" s="705"/>
      <c r="E275" s="705"/>
      <c r="F275" s="705"/>
      <c r="G275" s="705"/>
      <c r="H275" s="705"/>
    </row>
    <row r="276" spans="1:8" x14ac:dyDescent="0.2">
      <c r="A276" s="43" t="s">
        <v>3335</v>
      </c>
    </row>
    <row r="277" spans="1:8" x14ac:dyDescent="0.2">
      <c r="A277" s="43" t="s">
        <v>3332</v>
      </c>
    </row>
    <row r="278" spans="1:8" x14ac:dyDescent="0.2">
      <c r="A278" s="43" t="s">
        <v>3333</v>
      </c>
    </row>
    <row r="279" spans="1:8" x14ac:dyDescent="0.2">
      <c r="A279" s="43" t="s">
        <v>3334</v>
      </c>
    </row>
    <row r="281" spans="1:8" x14ac:dyDescent="0.2">
      <c r="A281" s="43" t="s">
        <v>111</v>
      </c>
    </row>
    <row r="283" spans="1:8" x14ac:dyDescent="0.2">
      <c r="A283" s="43" t="s">
        <v>3336</v>
      </c>
    </row>
    <row r="284" spans="1:8" x14ac:dyDescent="0.2">
      <c r="A284" s="43" t="s">
        <v>3337</v>
      </c>
    </row>
    <row r="286" spans="1:8" x14ac:dyDescent="0.2">
      <c r="A286" s="43" t="s">
        <v>3338</v>
      </c>
    </row>
    <row r="287" spans="1:8" x14ac:dyDescent="0.2">
      <c r="A287" s="43" t="s">
        <v>3339</v>
      </c>
    </row>
    <row r="289" spans="1:5" x14ac:dyDescent="0.2">
      <c r="D289" s="706">
        <f>1.12^0.25-1</f>
        <v>2.8737344722080227E-2</v>
      </c>
    </row>
    <row r="291" spans="1:5" x14ac:dyDescent="0.2">
      <c r="A291" s="43" t="s">
        <v>3340</v>
      </c>
    </row>
    <row r="296" spans="1:5" x14ac:dyDescent="0.2">
      <c r="D296" s="76">
        <f>8000/D289</f>
        <v>278383.40937091626</v>
      </c>
    </row>
    <row r="298" spans="1:5" x14ac:dyDescent="0.2">
      <c r="A298" s="43" t="s">
        <v>3341</v>
      </c>
    </row>
    <row r="300" spans="1:5" x14ac:dyDescent="0.2">
      <c r="D300" s="707">
        <f>D289</f>
        <v>2.8737344722080227E-2</v>
      </c>
      <c r="E300" s="43" t="s">
        <v>87</v>
      </c>
    </row>
    <row r="301" spans="1:5" x14ac:dyDescent="0.2">
      <c r="D301" s="43">
        <v>5</v>
      </c>
      <c r="E301" s="43" t="s">
        <v>89</v>
      </c>
    </row>
    <row r="302" spans="1:5" x14ac:dyDescent="0.2">
      <c r="D302" s="43">
        <v>0</v>
      </c>
      <c r="E302" s="43" t="s">
        <v>91</v>
      </c>
    </row>
    <row r="303" spans="1:5" x14ac:dyDescent="0.2">
      <c r="D303" s="708">
        <f>PV(D300,D301,D302,D304)</f>
        <v>-241613.29107469687</v>
      </c>
      <c r="E303" s="43" t="s">
        <v>281</v>
      </c>
    </row>
    <row r="304" spans="1:5" x14ac:dyDescent="0.2">
      <c r="D304" s="76">
        <f>D296</f>
        <v>278383.40937091626</v>
      </c>
      <c r="E304" s="43" t="s">
        <v>105</v>
      </c>
    </row>
    <row r="306" spans="1:1" x14ac:dyDescent="0.2">
      <c r="A306" s="44" t="s">
        <v>3342</v>
      </c>
    </row>
  </sheetData>
  <mergeCells count="2">
    <mergeCell ref="A1:H1"/>
    <mergeCell ref="C128:C129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13</vt:i4>
      </vt:variant>
      <vt:variant>
        <vt:lpstr>Named Ranges</vt:lpstr>
      </vt:variant>
      <vt:variant>
        <vt:i4>1</vt:i4>
      </vt:variant>
    </vt:vector>
  </HeadingPairs>
  <TitlesOfParts>
    <vt:vector size="14" baseType="lpstr">
      <vt:lpstr>COVER</vt:lpstr>
      <vt:lpstr>Lecture 1 FV Basics</vt:lpstr>
      <vt:lpstr>Lecture 2 FV Cont.</vt:lpstr>
      <vt:lpstr>Lecture 3 - PV Lump Sum</vt:lpstr>
      <vt:lpstr>Lecture 4 - PV Series</vt:lpstr>
      <vt:lpstr>Lecture 5 - Eff. Int</vt:lpstr>
      <vt:lpstr>Lecture 6 - Eff. Int</vt:lpstr>
      <vt:lpstr>Lecture 7 - Loans</vt:lpstr>
      <vt:lpstr>Lecture 8 - Loans Advanced</vt:lpstr>
      <vt:lpstr>Lecture 9 - Linkage</vt:lpstr>
      <vt:lpstr>Lecture 10+11 Projects</vt:lpstr>
      <vt:lpstr>Lecture 12 - CF</vt:lpstr>
      <vt:lpstr>Reversal</vt:lpstr>
      <vt:lpstr>'Lecture 2 FV Cont.'!Print_Area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Adi</dc:creator>
  <cp:keywords/>
  <dc:description/>
  <cp:lastModifiedBy>Shay Tsaban</cp:lastModifiedBy>
  <cp:revision/>
  <dcterms:created xsi:type="dcterms:W3CDTF">2018-12-12T18:34:35Z</dcterms:created>
  <dcterms:modified xsi:type="dcterms:W3CDTF">2025-06-18T08:36:23Z</dcterms:modified>
  <cp:category/>
  <cp:contentStatus/>
</cp:coreProperties>
</file>